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YULIED.PENARANDA.SDA\Desktop\2024\1-ENERO-2024\PA cierre 2023\PA DICIEMBRE 2023\"/>
    </mc:Choice>
  </mc:AlternateContent>
  <xr:revisionPtr revIDLastSave="0" documentId="13_ncr:1_{084CADCD-AD31-496E-BE07-7E4AC8884716}" xr6:coauthVersionLast="47" xr6:coauthVersionMax="47" xr10:uidLastSave="{00000000-0000-0000-0000-000000000000}"/>
  <bookViews>
    <workbookView xWindow="-120" yWindow="-120" windowWidth="20730" windowHeight="11160" activeTab="1" xr2:uid="{00000000-000D-0000-FFFF-FFFF00000000}"/>
  </bookViews>
  <sheets>
    <sheet name="GESTIÓN" sheetId="1" r:id="rId1"/>
    <sheet name="INVERSIÓN" sheetId="2" r:id="rId2"/>
    <sheet name="ACTIVIDADES" sheetId="3" r:id="rId3"/>
    <sheet name="TERRITORIALIZACIÓN" sheetId="7" r:id="rId4"/>
    <sheet name="SPI" sheetId="5" r:id="rId5"/>
  </sheets>
  <externalReferences>
    <externalReference r:id="rId6"/>
    <externalReference r:id="rId7"/>
  </externalReferences>
  <definedNames>
    <definedName name="_xlnm._FilterDatabase" localSheetId="3" hidden="1">TERRITORIALIZACIÓN!$A$9:$AY$702</definedName>
    <definedName name="CONDICION_POBLACIONAL" localSheetId="4">[1]Variables!$C$1:$C$24</definedName>
    <definedName name="CONDICION_POBLACIONAL">[2]Variables!$C$1:$C$24</definedName>
    <definedName name="GRUPO_ETAREO" localSheetId="4">[1]Variables!$A$1:$A$8</definedName>
    <definedName name="GRUPO_ETAREO">[2]Variables!$A$1:$A$8</definedName>
    <definedName name="GRUPO_ETAREOS" localSheetId="0">#REF!</definedName>
    <definedName name="GRUPO_ETAREOS" localSheetId="4">#REF!</definedName>
    <definedName name="GRUPO_ETAREOS" localSheetId="3">#REF!</definedName>
    <definedName name="GRUPO_ETAREOS">#REF!</definedName>
    <definedName name="GRUPO_ETARIO" localSheetId="0">#REF!</definedName>
    <definedName name="GRUPO_ETARIO" localSheetId="4">#REF!</definedName>
    <definedName name="GRUPO_ETARIO" localSheetId="3">#REF!</definedName>
    <definedName name="GRUPO_ETARIO">#REF!</definedName>
    <definedName name="GRUPO_ETNICO" localSheetId="0">#REF!</definedName>
    <definedName name="GRUPO_ETNICO" localSheetId="4">#REF!</definedName>
    <definedName name="GRUPO_ETNICO" localSheetId="3">#REF!</definedName>
    <definedName name="GRUPO_ETNICO">#REF!</definedName>
    <definedName name="GRUPOETNICO" localSheetId="0">#REF!</definedName>
    <definedName name="GRUPOETNICO" localSheetId="4">#REF!</definedName>
    <definedName name="GRUPOETNICO" localSheetId="3">#REF!</definedName>
    <definedName name="GRUPOETNICO">#REF!</definedName>
    <definedName name="GRUPOS_ETNICOS" localSheetId="4">[1]Variables!$H$1:$H$8</definedName>
    <definedName name="GRUPOS_ETNICOS">[2]Variables!$H$1:$H$8</definedName>
    <definedName name="LOCALIDAD" localSheetId="0">#REF!</definedName>
    <definedName name="LOCALIDAD" localSheetId="4">#REF!</definedName>
    <definedName name="LOCALIDAD" localSheetId="3">#REF!</definedName>
    <definedName name="LOCALIDAD">#REF!</definedName>
    <definedName name="LOCALIZACION" localSheetId="0">#REF!</definedName>
    <definedName name="LOCALIZACION" localSheetId="4">#REF!</definedName>
    <definedName name="LOCALIZACION" localSheetId="3">#REF!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IotOFddlHO0aumvCjU8tvsQ/eBIzoIOHfJ6X/PncBlk="/>
    </ext>
  </extLst>
</workbook>
</file>

<file path=xl/calcChain.xml><?xml version="1.0" encoding="utf-8"?>
<calcChain xmlns="http://schemas.openxmlformats.org/spreadsheetml/2006/main">
  <c r="G80" i="2" l="1"/>
  <c r="G11" i="2"/>
  <c r="EU79" i="2"/>
  <c r="EV79" i="2"/>
  <c r="ES79" i="2"/>
  <c r="ER79" i="2"/>
  <c r="AC702" i="7"/>
  <c r="AE701" i="7"/>
  <c r="AD701" i="7"/>
  <c r="AC701" i="7"/>
  <c r="AB701" i="7"/>
  <c r="AA701" i="7"/>
  <c r="R701" i="7"/>
  <c r="Q701" i="7"/>
  <c r="P701" i="7"/>
  <c r="O701" i="7"/>
  <c r="N701" i="7"/>
  <c r="AE700" i="7"/>
  <c r="AD700" i="7"/>
  <c r="AC700" i="7"/>
  <c r="AB700" i="7"/>
  <c r="AA700" i="7"/>
  <c r="Z700" i="7"/>
  <c r="Z702" i="7" s="1"/>
  <c r="R700" i="7"/>
  <c r="Q700" i="7"/>
  <c r="Q702" i="7" s="1"/>
  <c r="P700" i="7"/>
  <c r="O700" i="7"/>
  <c r="N700" i="7"/>
  <c r="M700" i="7"/>
  <c r="M702" i="7" s="1"/>
  <c r="O699" i="7"/>
  <c r="N699" i="7"/>
  <c r="M699" i="7"/>
  <c r="AE698" i="7"/>
  <c r="AD698" i="7"/>
  <c r="AC698" i="7"/>
  <c r="AA698" i="7"/>
  <c r="Z698" i="7"/>
  <c r="R698" i="7"/>
  <c r="Q698" i="7"/>
  <c r="P698" i="7"/>
  <c r="O698" i="7"/>
  <c r="N698" i="7"/>
  <c r="M698" i="7"/>
  <c r="AE697" i="7"/>
  <c r="AD697" i="7"/>
  <c r="AC697" i="7"/>
  <c r="AB697" i="7"/>
  <c r="AA697" i="7"/>
  <c r="Z697" i="7"/>
  <c r="R697" i="7"/>
  <c r="Q697" i="7"/>
  <c r="P697" i="7"/>
  <c r="O697" i="7"/>
  <c r="N697" i="7"/>
  <c r="M697" i="7"/>
  <c r="AE696" i="7"/>
  <c r="AD696" i="7"/>
  <c r="AC696" i="7"/>
  <c r="AB696" i="7"/>
  <c r="AA696" i="7"/>
  <c r="Z696" i="7"/>
  <c r="R696" i="7"/>
  <c r="Q696" i="7"/>
  <c r="P696" i="7"/>
  <c r="O696" i="7"/>
  <c r="N696" i="7"/>
  <c r="M696" i="7"/>
  <c r="AE695" i="7"/>
  <c r="AD695" i="7"/>
  <c r="AC695" i="7"/>
  <c r="AB695" i="7"/>
  <c r="AA695" i="7"/>
  <c r="Z695" i="7"/>
  <c r="R695" i="7"/>
  <c r="Q695" i="7"/>
  <c r="P695" i="7"/>
  <c r="O695" i="7"/>
  <c r="N695" i="7"/>
  <c r="M695" i="7"/>
  <c r="AE694" i="7"/>
  <c r="AD694" i="7"/>
  <c r="AC694" i="7"/>
  <c r="AB694" i="7"/>
  <c r="AA694" i="7"/>
  <c r="Z694" i="7"/>
  <c r="R694" i="7"/>
  <c r="Q694" i="7"/>
  <c r="P694" i="7"/>
  <c r="O694" i="7"/>
  <c r="N694" i="7"/>
  <c r="M694" i="7"/>
  <c r="AE693" i="7"/>
  <c r="AE699" i="7" s="1"/>
  <c r="AD693" i="7"/>
  <c r="AC693" i="7"/>
  <c r="AC699" i="7" s="1"/>
  <c r="AB693" i="7"/>
  <c r="AA693" i="7"/>
  <c r="AA699" i="7" s="1"/>
  <c r="Z693" i="7"/>
  <c r="Z699" i="7" s="1"/>
  <c r="R693" i="7"/>
  <c r="R699" i="7" s="1"/>
  <c r="Q693" i="7"/>
  <c r="Q699" i="7" s="1"/>
  <c r="P693" i="7"/>
  <c r="P699" i="7" s="1"/>
  <c r="AB692" i="7"/>
  <c r="AB698" i="7" s="1"/>
  <c r="AE674" i="7"/>
  <c r="R674" i="7"/>
  <c r="Q674" i="7"/>
  <c r="P674" i="7"/>
  <c r="O674" i="7"/>
  <c r="M674" i="7"/>
  <c r="R673" i="7"/>
  <c r="Q673" i="7"/>
  <c r="P673" i="7"/>
  <c r="O673" i="7"/>
  <c r="N673" i="7"/>
  <c r="M673" i="7"/>
  <c r="AE672" i="7"/>
  <c r="R672" i="7"/>
  <c r="Q672" i="7"/>
  <c r="P672" i="7"/>
  <c r="O672" i="7"/>
  <c r="N672" i="7"/>
  <c r="M672" i="7"/>
  <c r="AE670" i="7"/>
  <c r="R670" i="7"/>
  <c r="Q670" i="7"/>
  <c r="P670" i="7"/>
  <c r="O670" i="7"/>
  <c r="N670" i="7"/>
  <c r="M670" i="7"/>
  <c r="O669" i="7"/>
  <c r="N669" i="7"/>
  <c r="M669" i="7"/>
  <c r="AB668" i="7"/>
  <c r="AA668" i="7"/>
  <c r="N668" i="7"/>
  <c r="N674" i="7" s="1"/>
  <c r="AE665" i="7"/>
  <c r="AD665" i="7"/>
  <c r="P665" i="7" s="1"/>
  <c r="AC665" i="7"/>
  <c r="AC669" i="7" s="1"/>
  <c r="AB665" i="7"/>
  <c r="AB669" i="7" s="1"/>
  <c r="AA665" i="7"/>
  <c r="AA669" i="7" s="1"/>
  <c r="Z665" i="7"/>
  <c r="Z669" i="7" s="1"/>
  <c r="R665" i="7"/>
  <c r="AD662" i="7"/>
  <c r="AC662" i="7"/>
  <c r="AB662" i="7"/>
  <c r="AA662" i="7"/>
  <c r="Z662" i="7"/>
  <c r="AE661" i="7"/>
  <c r="AD661" i="7"/>
  <c r="AC661" i="7"/>
  <c r="AB661" i="7"/>
  <c r="AA661" i="7"/>
  <c r="Z661" i="7"/>
  <c r="AD660" i="7"/>
  <c r="AC660" i="7"/>
  <c r="AB660" i="7"/>
  <c r="AA660" i="7"/>
  <c r="Z660" i="7"/>
  <c r="R659" i="7"/>
  <c r="AE659" i="7" s="1"/>
  <c r="Q659" i="7"/>
  <c r="AD659" i="7" s="1"/>
  <c r="P659" i="7"/>
  <c r="AC659" i="7" s="1"/>
  <c r="O659" i="7"/>
  <c r="O663" i="7" s="1"/>
  <c r="AB663" i="7" s="1"/>
  <c r="N659" i="7"/>
  <c r="N663" i="7" s="1"/>
  <c r="AA663" i="7" s="1"/>
  <c r="M659" i="7"/>
  <c r="M663" i="7" s="1"/>
  <c r="Z663" i="7" s="1"/>
  <c r="AD658" i="7"/>
  <c r="AC658" i="7"/>
  <c r="AB658" i="7"/>
  <c r="AA658" i="7"/>
  <c r="Z658" i="7"/>
  <c r="AD656" i="7"/>
  <c r="AC656" i="7"/>
  <c r="AB656" i="7"/>
  <c r="AA656" i="7"/>
  <c r="Z656" i="7"/>
  <c r="AE655" i="7"/>
  <c r="AD655" i="7"/>
  <c r="AC655" i="7"/>
  <c r="AB655" i="7"/>
  <c r="AA655" i="7"/>
  <c r="Z655" i="7"/>
  <c r="AD654" i="7"/>
  <c r="AC654" i="7"/>
  <c r="AB654" i="7"/>
  <c r="AA654" i="7"/>
  <c r="Z654" i="7"/>
  <c r="R653" i="7"/>
  <c r="AE653" i="7" s="1"/>
  <c r="Q653" i="7"/>
  <c r="AD653" i="7" s="1"/>
  <c r="P653" i="7"/>
  <c r="O653" i="7"/>
  <c r="AB653" i="7" s="1"/>
  <c r="N653" i="7"/>
  <c r="AA653" i="7" s="1"/>
  <c r="M653" i="7"/>
  <c r="Z653" i="7" s="1"/>
  <c r="AD652" i="7"/>
  <c r="AC652" i="7"/>
  <c r="AB652" i="7"/>
  <c r="AA652" i="7"/>
  <c r="Z652" i="7"/>
  <c r="AD650" i="7"/>
  <c r="AC650" i="7"/>
  <c r="AB650" i="7"/>
  <c r="AA650" i="7"/>
  <c r="Z650" i="7"/>
  <c r="AE649" i="7"/>
  <c r="AD649" i="7"/>
  <c r="AC649" i="7"/>
  <c r="AB649" i="7"/>
  <c r="AA649" i="7"/>
  <c r="AA673" i="7" s="1"/>
  <c r="Z649" i="7"/>
  <c r="AD648" i="7"/>
  <c r="AC648" i="7"/>
  <c r="AC672" i="7" s="1"/>
  <c r="AB648" i="7"/>
  <c r="AA648" i="7"/>
  <c r="Z648" i="7"/>
  <c r="R647" i="7"/>
  <c r="AE647" i="7" s="1"/>
  <c r="Q647" i="7"/>
  <c r="AD647" i="7" s="1"/>
  <c r="P647" i="7"/>
  <c r="AC647" i="7" s="1"/>
  <c r="O647" i="7"/>
  <c r="AB647" i="7" s="1"/>
  <c r="N647" i="7"/>
  <c r="AA647" i="7" s="1"/>
  <c r="M647" i="7"/>
  <c r="AD646" i="7"/>
  <c r="AC646" i="7"/>
  <c r="AB646" i="7"/>
  <c r="AA646" i="7"/>
  <c r="Z646" i="7"/>
  <c r="AE645" i="7"/>
  <c r="AD645" i="7"/>
  <c r="AC645" i="7"/>
  <c r="AB645" i="7"/>
  <c r="AA645" i="7"/>
  <c r="Z645" i="7"/>
  <c r="R645" i="7"/>
  <c r="Q645" i="7"/>
  <c r="P645" i="7"/>
  <c r="O645" i="7"/>
  <c r="N645" i="7"/>
  <c r="M645" i="7"/>
  <c r="AA644" i="7"/>
  <c r="AD638" i="7"/>
  <c r="AC638" i="7"/>
  <c r="AB638" i="7"/>
  <c r="AA638" i="7"/>
  <c r="Z638" i="7"/>
  <c r="R638" i="7"/>
  <c r="Q638" i="7"/>
  <c r="P638" i="7"/>
  <c r="O638" i="7"/>
  <c r="N638" i="7"/>
  <c r="M638" i="7"/>
  <c r="AE637" i="7"/>
  <c r="AD637" i="7"/>
  <c r="AC637" i="7"/>
  <c r="AB637" i="7"/>
  <c r="AA637" i="7"/>
  <c r="Z637" i="7"/>
  <c r="R637" i="7"/>
  <c r="Q637" i="7"/>
  <c r="P637" i="7"/>
  <c r="O637" i="7"/>
  <c r="N637" i="7"/>
  <c r="M637" i="7"/>
  <c r="AE636" i="7"/>
  <c r="AD636" i="7"/>
  <c r="AC636" i="7"/>
  <c r="AB636" i="7"/>
  <c r="AA636" i="7"/>
  <c r="Z636" i="7"/>
  <c r="R636" i="7"/>
  <c r="Q636" i="7"/>
  <c r="P636" i="7"/>
  <c r="O636" i="7"/>
  <c r="N636" i="7"/>
  <c r="M636" i="7"/>
  <c r="AE635" i="7"/>
  <c r="AD635" i="7"/>
  <c r="AC635" i="7"/>
  <c r="AB635" i="7"/>
  <c r="AA635" i="7"/>
  <c r="Z635" i="7"/>
  <c r="R635" i="7"/>
  <c r="Q635" i="7"/>
  <c r="P635" i="7"/>
  <c r="O635" i="7"/>
  <c r="N635" i="7"/>
  <c r="M635" i="7"/>
  <c r="AE634" i="7"/>
  <c r="AE638" i="7" s="1"/>
  <c r="AD634" i="7"/>
  <c r="AC634" i="7"/>
  <c r="AB634" i="7"/>
  <c r="AA634" i="7"/>
  <c r="Z634" i="7"/>
  <c r="R634" i="7"/>
  <c r="Q634" i="7"/>
  <c r="P634" i="7"/>
  <c r="O634" i="7"/>
  <c r="N634" i="7"/>
  <c r="M634" i="7"/>
  <c r="AE633" i="7"/>
  <c r="AE639" i="7" s="1"/>
  <c r="AD633" i="7"/>
  <c r="AD639" i="7" s="1"/>
  <c r="AC633" i="7"/>
  <c r="AC639" i="7" s="1"/>
  <c r="AB633" i="7"/>
  <c r="AB639" i="7" s="1"/>
  <c r="AA633" i="7"/>
  <c r="AA639" i="7" s="1"/>
  <c r="Z633" i="7"/>
  <c r="Z639" i="7" s="1"/>
  <c r="R633" i="7"/>
  <c r="R639" i="7" s="1"/>
  <c r="Q633" i="7"/>
  <c r="Q639" i="7" s="1"/>
  <c r="P633" i="7"/>
  <c r="P639" i="7" s="1"/>
  <c r="O633" i="7"/>
  <c r="O639" i="7" s="1"/>
  <c r="N633" i="7"/>
  <c r="N639" i="7" s="1"/>
  <c r="M633" i="7"/>
  <c r="M639" i="7" s="1"/>
  <c r="R626" i="7"/>
  <c r="Q626" i="7"/>
  <c r="P626" i="7"/>
  <c r="O626" i="7"/>
  <c r="N626" i="7"/>
  <c r="M626" i="7"/>
  <c r="R624" i="7"/>
  <c r="Q624" i="7"/>
  <c r="P624" i="7"/>
  <c r="O624" i="7"/>
  <c r="N624" i="7"/>
  <c r="M624" i="7"/>
  <c r="R622" i="7"/>
  <c r="Q622" i="7"/>
  <c r="P622" i="7"/>
  <c r="O622" i="7"/>
  <c r="N622" i="7"/>
  <c r="M622" i="7"/>
  <c r="O619" i="7"/>
  <c r="N619" i="7"/>
  <c r="M619" i="7"/>
  <c r="R617" i="7"/>
  <c r="R621" i="7" s="1"/>
  <c r="Q617" i="7"/>
  <c r="Q621" i="7" s="1"/>
  <c r="P617" i="7"/>
  <c r="P621" i="7" s="1"/>
  <c r="O617" i="7"/>
  <c r="N617" i="7"/>
  <c r="N621" i="7" s="1"/>
  <c r="M617" i="7"/>
  <c r="M621" i="7" s="1"/>
  <c r="AE614" i="7"/>
  <c r="AD614" i="7"/>
  <c r="AC614" i="7"/>
  <c r="AB614" i="7"/>
  <c r="AA614" i="7"/>
  <c r="Z614" i="7"/>
  <c r="AE613" i="7"/>
  <c r="AD613" i="7"/>
  <c r="AC613" i="7"/>
  <c r="AB613" i="7"/>
  <c r="AA613" i="7"/>
  <c r="Z613" i="7"/>
  <c r="AE612" i="7"/>
  <c r="AD612" i="7"/>
  <c r="AC612" i="7"/>
  <c r="AB612" i="7"/>
  <c r="AA612" i="7"/>
  <c r="Z612" i="7"/>
  <c r="R611" i="7"/>
  <c r="R615" i="7" s="1"/>
  <c r="AE615" i="7" s="1"/>
  <c r="Q611" i="7"/>
  <c r="Q615" i="7" s="1"/>
  <c r="AD615" i="7" s="1"/>
  <c r="P611" i="7"/>
  <c r="AC611" i="7" s="1"/>
  <c r="O611" i="7"/>
  <c r="O615" i="7" s="1"/>
  <c r="AB615" i="7" s="1"/>
  <c r="N611" i="7"/>
  <c r="N615" i="7" s="1"/>
  <c r="AA615" i="7" s="1"/>
  <c r="M611" i="7"/>
  <c r="M615" i="7" s="1"/>
  <c r="Z615" i="7" s="1"/>
  <c r="AE610" i="7"/>
  <c r="AD610" i="7"/>
  <c r="AC610" i="7"/>
  <c r="AB610" i="7"/>
  <c r="AA610" i="7"/>
  <c r="Z610" i="7"/>
  <c r="AE608" i="7"/>
  <c r="AD608" i="7"/>
  <c r="AC608" i="7"/>
  <c r="AB608" i="7"/>
  <c r="AA608" i="7"/>
  <c r="AE607" i="7"/>
  <c r="AD607" i="7"/>
  <c r="AC607" i="7"/>
  <c r="AB607" i="7"/>
  <c r="AA607" i="7"/>
  <c r="AE606" i="7"/>
  <c r="AD606" i="7"/>
  <c r="AC606" i="7"/>
  <c r="AB606" i="7"/>
  <c r="AA606" i="7"/>
  <c r="R605" i="7"/>
  <c r="R609" i="7" s="1"/>
  <c r="AE609" i="7" s="1"/>
  <c r="Q605" i="7"/>
  <c r="AD605" i="7" s="1"/>
  <c r="P605" i="7"/>
  <c r="O605" i="7"/>
  <c r="AB605" i="7" s="1"/>
  <c r="N605" i="7"/>
  <c r="N609" i="7" s="1"/>
  <c r="AA609" i="7" s="1"/>
  <c r="AE604" i="7"/>
  <c r="AD604" i="7"/>
  <c r="AC604" i="7"/>
  <c r="AB604" i="7"/>
  <c r="AA604" i="7"/>
  <c r="AE602" i="7"/>
  <c r="AD602" i="7"/>
  <c r="AC602" i="7"/>
  <c r="AB602" i="7"/>
  <c r="AA602" i="7"/>
  <c r="Z602" i="7"/>
  <c r="AE601" i="7"/>
  <c r="AD601" i="7"/>
  <c r="AC601" i="7"/>
  <c r="AB601" i="7"/>
  <c r="AA601" i="7"/>
  <c r="Z601" i="7"/>
  <c r="AE600" i="7"/>
  <c r="AD600" i="7"/>
  <c r="AC600" i="7"/>
  <c r="AB600" i="7"/>
  <c r="AA600" i="7"/>
  <c r="Z600" i="7"/>
  <c r="R599" i="7"/>
  <c r="R603" i="7" s="1"/>
  <c r="AE603" i="7" s="1"/>
  <c r="Q599" i="7"/>
  <c r="Q603" i="7" s="1"/>
  <c r="AD603" i="7" s="1"/>
  <c r="P599" i="7"/>
  <c r="P603" i="7" s="1"/>
  <c r="AC603" i="7" s="1"/>
  <c r="O599" i="7"/>
  <c r="O603" i="7" s="1"/>
  <c r="AB603" i="7" s="1"/>
  <c r="N599" i="7"/>
  <c r="N603" i="7" s="1"/>
  <c r="AA603" i="7" s="1"/>
  <c r="M599" i="7"/>
  <c r="M603" i="7" s="1"/>
  <c r="Z603" i="7" s="1"/>
  <c r="AE598" i="7"/>
  <c r="AD598" i="7"/>
  <c r="AC598" i="7"/>
  <c r="AB598" i="7"/>
  <c r="AA598" i="7"/>
  <c r="Z598" i="7"/>
  <c r="AE596" i="7"/>
  <c r="AD596" i="7"/>
  <c r="AC596" i="7"/>
  <c r="AB596" i="7"/>
  <c r="AA596" i="7"/>
  <c r="Z596" i="7"/>
  <c r="AE595" i="7"/>
  <c r="AD595" i="7"/>
  <c r="AC595" i="7"/>
  <c r="AB595" i="7"/>
  <c r="AA595" i="7"/>
  <c r="Z595" i="7"/>
  <c r="AE594" i="7"/>
  <c r="AD594" i="7"/>
  <c r="AC594" i="7"/>
  <c r="AB594" i="7"/>
  <c r="AA594" i="7"/>
  <c r="Z594" i="7"/>
  <c r="R593" i="7"/>
  <c r="Q593" i="7"/>
  <c r="Q597" i="7" s="1"/>
  <c r="AD597" i="7" s="1"/>
  <c r="P593" i="7"/>
  <c r="P597" i="7" s="1"/>
  <c r="AC597" i="7" s="1"/>
  <c r="O593" i="7"/>
  <c r="O597" i="7" s="1"/>
  <c r="AB597" i="7" s="1"/>
  <c r="N593" i="7"/>
  <c r="N597" i="7" s="1"/>
  <c r="AA597" i="7" s="1"/>
  <c r="M593" i="7"/>
  <c r="M597" i="7" s="1"/>
  <c r="Z597" i="7" s="1"/>
  <c r="AE592" i="7"/>
  <c r="AD592" i="7"/>
  <c r="AC592" i="7"/>
  <c r="AB592" i="7"/>
  <c r="AA592" i="7"/>
  <c r="Z592" i="7"/>
  <c r="AE590" i="7"/>
  <c r="AD590" i="7"/>
  <c r="AC590" i="7"/>
  <c r="AB590" i="7"/>
  <c r="AA590" i="7"/>
  <c r="Z590" i="7"/>
  <c r="AE589" i="7"/>
  <c r="AD589" i="7"/>
  <c r="AC589" i="7"/>
  <c r="AB589" i="7"/>
  <c r="AA589" i="7"/>
  <c r="Z589" i="7"/>
  <c r="AE588" i="7"/>
  <c r="AD588" i="7"/>
  <c r="AC588" i="7"/>
  <c r="AB588" i="7"/>
  <c r="AA588" i="7"/>
  <c r="Z588" i="7"/>
  <c r="R587" i="7"/>
  <c r="Q587" i="7"/>
  <c r="Q591" i="7" s="1"/>
  <c r="AD591" i="7" s="1"/>
  <c r="P587" i="7"/>
  <c r="P591" i="7" s="1"/>
  <c r="AC591" i="7" s="1"/>
  <c r="O587" i="7"/>
  <c r="O591" i="7" s="1"/>
  <c r="AB591" i="7" s="1"/>
  <c r="N587" i="7"/>
  <c r="N591" i="7" s="1"/>
  <c r="AA591" i="7" s="1"/>
  <c r="M587" i="7"/>
  <c r="M591" i="7" s="1"/>
  <c r="Z591" i="7" s="1"/>
  <c r="AE586" i="7"/>
  <c r="AD586" i="7"/>
  <c r="AC586" i="7"/>
  <c r="AB586" i="7"/>
  <c r="AA586" i="7"/>
  <c r="Z586" i="7"/>
  <c r="AE584" i="7"/>
  <c r="AD584" i="7"/>
  <c r="AC584" i="7"/>
  <c r="AB584" i="7"/>
  <c r="AA584" i="7"/>
  <c r="Z584" i="7"/>
  <c r="AE583" i="7"/>
  <c r="AD583" i="7"/>
  <c r="AC583" i="7"/>
  <c r="AB583" i="7"/>
  <c r="AA583" i="7"/>
  <c r="Z583" i="7"/>
  <c r="AE582" i="7"/>
  <c r="AD582" i="7"/>
  <c r="AC582" i="7"/>
  <c r="AB582" i="7"/>
  <c r="AA582" i="7"/>
  <c r="Z582" i="7"/>
  <c r="R581" i="7"/>
  <c r="Q581" i="7"/>
  <c r="Q585" i="7" s="1"/>
  <c r="AD585" i="7" s="1"/>
  <c r="P581" i="7"/>
  <c r="P585" i="7" s="1"/>
  <c r="AC585" i="7" s="1"/>
  <c r="O581" i="7"/>
  <c r="O585" i="7" s="1"/>
  <c r="AB585" i="7" s="1"/>
  <c r="N581" i="7"/>
  <c r="N585" i="7" s="1"/>
  <c r="AA585" i="7" s="1"/>
  <c r="M581" i="7"/>
  <c r="M585" i="7" s="1"/>
  <c r="Z585" i="7" s="1"/>
  <c r="AE580" i="7"/>
  <c r="AD580" i="7"/>
  <c r="AC580" i="7"/>
  <c r="AB580" i="7"/>
  <c r="AA580" i="7"/>
  <c r="Z580" i="7"/>
  <c r="AE578" i="7"/>
  <c r="AD578" i="7"/>
  <c r="AC578" i="7"/>
  <c r="AB578" i="7"/>
  <c r="AA578" i="7"/>
  <c r="Z578" i="7"/>
  <c r="AE577" i="7"/>
  <c r="AD577" i="7"/>
  <c r="AC577" i="7"/>
  <c r="AB577" i="7"/>
  <c r="AA577" i="7"/>
  <c r="Z577" i="7"/>
  <c r="AE576" i="7"/>
  <c r="AD576" i="7"/>
  <c r="AC576" i="7"/>
  <c r="AB576" i="7"/>
  <c r="AA576" i="7"/>
  <c r="Z576" i="7"/>
  <c r="R575" i="7"/>
  <c r="Q575" i="7"/>
  <c r="Q579" i="7" s="1"/>
  <c r="AD579" i="7" s="1"/>
  <c r="P575" i="7"/>
  <c r="P579" i="7" s="1"/>
  <c r="AC579" i="7" s="1"/>
  <c r="O575" i="7"/>
  <c r="O579" i="7" s="1"/>
  <c r="AB579" i="7" s="1"/>
  <c r="N575" i="7"/>
  <c r="N579" i="7" s="1"/>
  <c r="AA579" i="7" s="1"/>
  <c r="M575" i="7"/>
  <c r="M579" i="7" s="1"/>
  <c r="Z579" i="7" s="1"/>
  <c r="AE574" i="7"/>
  <c r="AD574" i="7"/>
  <c r="AC574" i="7"/>
  <c r="AB574" i="7"/>
  <c r="AA574" i="7"/>
  <c r="Z574" i="7"/>
  <c r="AE572" i="7"/>
  <c r="AD572" i="7"/>
  <c r="AC572" i="7"/>
  <c r="AB572" i="7"/>
  <c r="AA572" i="7"/>
  <c r="Z572" i="7"/>
  <c r="AE571" i="7"/>
  <c r="AD571" i="7"/>
  <c r="AC571" i="7"/>
  <c r="AB571" i="7"/>
  <c r="AA571" i="7"/>
  <c r="Z571" i="7"/>
  <c r="AE570" i="7"/>
  <c r="AD570" i="7"/>
  <c r="AC570" i="7"/>
  <c r="AB570" i="7"/>
  <c r="AA570" i="7"/>
  <c r="Z570" i="7"/>
  <c r="R569" i="7"/>
  <c r="Q569" i="7"/>
  <c r="Q573" i="7" s="1"/>
  <c r="AD573" i="7" s="1"/>
  <c r="P569" i="7"/>
  <c r="P573" i="7" s="1"/>
  <c r="AC573" i="7" s="1"/>
  <c r="O569" i="7"/>
  <c r="O573" i="7" s="1"/>
  <c r="AB573" i="7" s="1"/>
  <c r="N569" i="7"/>
  <c r="N573" i="7" s="1"/>
  <c r="AA573" i="7" s="1"/>
  <c r="M569" i="7"/>
  <c r="M573" i="7" s="1"/>
  <c r="Z573" i="7" s="1"/>
  <c r="AE568" i="7"/>
  <c r="AD568" i="7"/>
  <c r="AC568" i="7"/>
  <c r="AB568" i="7"/>
  <c r="AA568" i="7"/>
  <c r="Z568" i="7"/>
  <c r="AE566" i="7"/>
  <c r="AD566" i="7"/>
  <c r="AC566" i="7"/>
  <c r="AB566" i="7"/>
  <c r="AA566" i="7"/>
  <c r="Z566" i="7"/>
  <c r="AE565" i="7"/>
  <c r="AD565" i="7"/>
  <c r="AC565" i="7"/>
  <c r="AB565" i="7"/>
  <c r="AA565" i="7"/>
  <c r="Z565" i="7"/>
  <c r="AE564" i="7"/>
  <c r="AD564" i="7"/>
  <c r="AC564" i="7"/>
  <c r="AB564" i="7"/>
  <c r="AA564" i="7"/>
  <c r="Z564" i="7"/>
  <c r="R563" i="7"/>
  <c r="R567" i="7" s="1"/>
  <c r="AE567" i="7" s="1"/>
  <c r="Q563" i="7"/>
  <c r="Q567" i="7" s="1"/>
  <c r="AD567" i="7" s="1"/>
  <c r="P563" i="7"/>
  <c r="P567" i="7" s="1"/>
  <c r="AC567" i="7" s="1"/>
  <c r="O563" i="7"/>
  <c r="O567" i="7" s="1"/>
  <c r="AB567" i="7" s="1"/>
  <c r="N563" i="7"/>
  <c r="N567" i="7" s="1"/>
  <c r="AA567" i="7" s="1"/>
  <c r="M563" i="7"/>
  <c r="M567" i="7" s="1"/>
  <c r="Z567" i="7" s="1"/>
  <c r="AE562" i="7"/>
  <c r="AD562" i="7"/>
  <c r="AC562" i="7"/>
  <c r="AB562" i="7"/>
  <c r="AA562" i="7"/>
  <c r="Z562" i="7"/>
  <c r="AE560" i="7"/>
  <c r="AD560" i="7"/>
  <c r="AC560" i="7"/>
  <c r="AB560" i="7"/>
  <c r="AE559" i="7"/>
  <c r="AD559" i="7"/>
  <c r="AC559" i="7"/>
  <c r="AB559" i="7"/>
  <c r="AE558" i="7"/>
  <c r="AD558" i="7"/>
  <c r="AC558" i="7"/>
  <c r="AB558" i="7"/>
  <c r="R557" i="7"/>
  <c r="Q557" i="7"/>
  <c r="P557" i="7"/>
  <c r="P561" i="7" s="1"/>
  <c r="AC561" i="7" s="1"/>
  <c r="O557" i="7"/>
  <c r="O561" i="7" s="1"/>
  <c r="AB561" i="7" s="1"/>
  <c r="AE556" i="7"/>
  <c r="AD556" i="7"/>
  <c r="AC556" i="7"/>
  <c r="AB556" i="7"/>
  <c r="AE554" i="7"/>
  <c r="AD554" i="7"/>
  <c r="AC554" i="7"/>
  <c r="AB554" i="7"/>
  <c r="AA554" i="7"/>
  <c r="Z554" i="7"/>
  <c r="AE553" i="7"/>
  <c r="AD553" i="7"/>
  <c r="AC553" i="7"/>
  <c r="AB553" i="7"/>
  <c r="AA553" i="7"/>
  <c r="Z553" i="7"/>
  <c r="AE552" i="7"/>
  <c r="AD552" i="7"/>
  <c r="AC552" i="7"/>
  <c r="AB552" i="7"/>
  <c r="AA552" i="7"/>
  <c r="Z552" i="7"/>
  <c r="AC551" i="7"/>
  <c r="R551" i="7"/>
  <c r="R555" i="7" s="1"/>
  <c r="AE555" i="7" s="1"/>
  <c r="Q551" i="7"/>
  <c r="Q555" i="7" s="1"/>
  <c r="AD555" i="7" s="1"/>
  <c r="P551" i="7"/>
  <c r="P555" i="7" s="1"/>
  <c r="AC555" i="7" s="1"/>
  <c r="O551" i="7"/>
  <c r="O555" i="7" s="1"/>
  <c r="AB555" i="7" s="1"/>
  <c r="N551" i="7"/>
  <c r="AA551" i="7" s="1"/>
  <c r="M551" i="7"/>
  <c r="Z551" i="7" s="1"/>
  <c r="AE550" i="7"/>
  <c r="AD550" i="7"/>
  <c r="AC550" i="7"/>
  <c r="AB550" i="7"/>
  <c r="AA550" i="7"/>
  <c r="Z550" i="7"/>
  <c r="AE548" i="7"/>
  <c r="AD548" i="7"/>
  <c r="AC548" i="7"/>
  <c r="AB548" i="7"/>
  <c r="AA548" i="7"/>
  <c r="Z548" i="7"/>
  <c r="AE547" i="7"/>
  <c r="AD547" i="7"/>
  <c r="AC547" i="7"/>
  <c r="AB547" i="7"/>
  <c r="AA547" i="7"/>
  <c r="Z547" i="7"/>
  <c r="AE546" i="7"/>
  <c r="AD546" i="7"/>
  <c r="AC546" i="7"/>
  <c r="AB546" i="7"/>
  <c r="AA546" i="7"/>
  <c r="Z546" i="7"/>
  <c r="R545" i="7"/>
  <c r="R549" i="7" s="1"/>
  <c r="AE549" i="7" s="1"/>
  <c r="Q545" i="7"/>
  <c r="Q549" i="7" s="1"/>
  <c r="AD549" i="7" s="1"/>
  <c r="P545" i="7"/>
  <c r="P549" i="7" s="1"/>
  <c r="AC549" i="7" s="1"/>
  <c r="O545" i="7"/>
  <c r="O549" i="7" s="1"/>
  <c r="AB549" i="7" s="1"/>
  <c r="N545" i="7"/>
  <c r="AA545" i="7" s="1"/>
  <c r="M545" i="7"/>
  <c r="Z545" i="7" s="1"/>
  <c r="AE544" i="7"/>
  <c r="AD544" i="7"/>
  <c r="AC544" i="7"/>
  <c r="AB544" i="7"/>
  <c r="AA544" i="7"/>
  <c r="Z544" i="7"/>
  <c r="AE542" i="7"/>
  <c r="AD542" i="7"/>
  <c r="AC542" i="7"/>
  <c r="AB542" i="7"/>
  <c r="AA542" i="7"/>
  <c r="Z542" i="7"/>
  <c r="R541" i="7"/>
  <c r="R625" i="7" s="1"/>
  <c r="Q541" i="7"/>
  <c r="Q625" i="7" s="1"/>
  <c r="P541" i="7"/>
  <c r="P625" i="7" s="1"/>
  <c r="O541" i="7"/>
  <c r="N541" i="7"/>
  <c r="M541" i="7"/>
  <c r="AE540" i="7"/>
  <c r="AD540" i="7"/>
  <c r="AC540" i="7"/>
  <c r="AB540" i="7"/>
  <c r="AA540" i="7"/>
  <c r="Z540" i="7"/>
  <c r="R539" i="7"/>
  <c r="Q539" i="7"/>
  <c r="P539" i="7"/>
  <c r="AC539" i="7" s="1"/>
  <c r="O539" i="7"/>
  <c r="N539" i="7"/>
  <c r="M539" i="7"/>
  <c r="AE538" i="7"/>
  <c r="AD538" i="7"/>
  <c r="AC538" i="7"/>
  <c r="AB538" i="7"/>
  <c r="AA538" i="7"/>
  <c r="Z538" i="7"/>
  <c r="AE537" i="7"/>
  <c r="AD537" i="7"/>
  <c r="AC537" i="7"/>
  <c r="AB537" i="7"/>
  <c r="AA537" i="7"/>
  <c r="Z537" i="7"/>
  <c r="R537" i="7"/>
  <c r="Q537" i="7"/>
  <c r="P537" i="7"/>
  <c r="M537" i="7"/>
  <c r="R530" i="7"/>
  <c r="Q530" i="7"/>
  <c r="P530" i="7"/>
  <c r="O530" i="7"/>
  <c r="N530" i="7"/>
  <c r="M530" i="7"/>
  <c r="R528" i="7"/>
  <c r="Q528" i="7"/>
  <c r="P528" i="7"/>
  <c r="O528" i="7"/>
  <c r="N528" i="7"/>
  <c r="M528" i="7"/>
  <c r="R526" i="7"/>
  <c r="Q526" i="7"/>
  <c r="P526" i="7"/>
  <c r="O526" i="7"/>
  <c r="N526" i="7"/>
  <c r="M526" i="7"/>
  <c r="R523" i="7"/>
  <c r="Q523" i="7"/>
  <c r="P523" i="7"/>
  <c r="O523" i="7"/>
  <c r="O529" i="7" s="1"/>
  <c r="N523" i="7"/>
  <c r="N529" i="7" s="1"/>
  <c r="M523" i="7"/>
  <c r="M529" i="7" s="1"/>
  <c r="R521" i="7"/>
  <c r="Q521" i="7"/>
  <c r="P521" i="7"/>
  <c r="O521" i="7"/>
  <c r="O525" i="7" s="1"/>
  <c r="N521" i="7"/>
  <c r="M521" i="7"/>
  <c r="M525" i="7" s="1"/>
  <c r="AE518" i="7"/>
  <c r="AD518" i="7"/>
  <c r="AC518" i="7"/>
  <c r="AB518" i="7"/>
  <c r="AA518" i="7"/>
  <c r="Z518" i="7"/>
  <c r="AE517" i="7"/>
  <c r="AD517" i="7"/>
  <c r="AC517" i="7"/>
  <c r="AB517" i="7"/>
  <c r="AA517" i="7"/>
  <c r="Z517" i="7"/>
  <c r="AE516" i="7"/>
  <c r="AD516" i="7"/>
  <c r="AC516" i="7"/>
  <c r="AB516" i="7"/>
  <c r="AA516" i="7"/>
  <c r="Z516" i="7"/>
  <c r="AD515" i="7"/>
  <c r="R515" i="7"/>
  <c r="R519" i="7" s="1"/>
  <c r="AE519" i="7" s="1"/>
  <c r="Q515" i="7"/>
  <c r="Q519" i="7" s="1"/>
  <c r="AD519" i="7" s="1"/>
  <c r="P515" i="7"/>
  <c r="P519" i="7" s="1"/>
  <c r="AC519" i="7" s="1"/>
  <c r="O515" i="7"/>
  <c r="O519" i="7" s="1"/>
  <c r="AB519" i="7" s="1"/>
  <c r="N515" i="7"/>
  <c r="AA515" i="7" s="1"/>
  <c r="M515" i="7"/>
  <c r="M519" i="7" s="1"/>
  <c r="Z519" i="7" s="1"/>
  <c r="AE514" i="7"/>
  <c r="AD514" i="7"/>
  <c r="AC514" i="7"/>
  <c r="AB514" i="7"/>
  <c r="AA514" i="7"/>
  <c r="Z514" i="7"/>
  <c r="AC513" i="7"/>
  <c r="AB513" i="7"/>
  <c r="AA513" i="7"/>
  <c r="Z513" i="7"/>
  <c r="AE512" i="7"/>
  <c r="AD512" i="7"/>
  <c r="AC512" i="7"/>
  <c r="AB512" i="7"/>
  <c r="AA512" i="7"/>
  <c r="Z512" i="7"/>
  <c r="AE511" i="7"/>
  <c r="AD511" i="7"/>
  <c r="AC511" i="7"/>
  <c r="AB511" i="7"/>
  <c r="AA511" i="7"/>
  <c r="Z511" i="7"/>
  <c r="AE510" i="7"/>
  <c r="AD510" i="7"/>
  <c r="AC510" i="7"/>
  <c r="AB510" i="7"/>
  <c r="AA510" i="7"/>
  <c r="Z510" i="7"/>
  <c r="AC509" i="7"/>
  <c r="AB509" i="7"/>
  <c r="AA509" i="7"/>
  <c r="Z509" i="7"/>
  <c r="R509" i="7"/>
  <c r="AE509" i="7" s="1"/>
  <c r="Q509" i="7"/>
  <c r="AD509" i="7" s="1"/>
  <c r="AG508" i="7"/>
  <c r="AE508" i="7"/>
  <c r="AD508" i="7"/>
  <c r="AC508" i="7"/>
  <c r="AB508" i="7"/>
  <c r="AA508" i="7"/>
  <c r="Z508" i="7"/>
  <c r="AA507" i="7"/>
  <c r="Z507" i="7"/>
  <c r="AE506" i="7"/>
  <c r="AD506" i="7"/>
  <c r="AC506" i="7"/>
  <c r="AB506" i="7"/>
  <c r="AA506" i="7"/>
  <c r="Z506" i="7"/>
  <c r="AE505" i="7"/>
  <c r="AD505" i="7"/>
  <c r="AC505" i="7"/>
  <c r="AB505" i="7"/>
  <c r="AA505" i="7"/>
  <c r="Z505" i="7"/>
  <c r="AE504" i="7"/>
  <c r="AD504" i="7"/>
  <c r="AC504" i="7"/>
  <c r="AB504" i="7"/>
  <c r="AA504" i="7"/>
  <c r="Z504" i="7"/>
  <c r="AA503" i="7"/>
  <c r="Z503" i="7"/>
  <c r="R503" i="7"/>
  <c r="AE503" i="7" s="1"/>
  <c r="Q503" i="7"/>
  <c r="AD503" i="7" s="1"/>
  <c r="P503" i="7"/>
  <c r="AC503" i="7" s="1"/>
  <c r="O503" i="7"/>
  <c r="O507" i="7" s="1"/>
  <c r="AB507" i="7" s="1"/>
  <c r="AG502" i="7"/>
  <c r="AE502" i="7"/>
  <c r="AD502" i="7"/>
  <c r="AC502" i="7"/>
  <c r="AB502" i="7"/>
  <c r="AA502" i="7"/>
  <c r="Z502" i="7"/>
  <c r="AE500" i="7"/>
  <c r="AD500" i="7"/>
  <c r="AC500" i="7"/>
  <c r="AB500" i="7"/>
  <c r="AA500" i="7"/>
  <c r="Z500" i="7"/>
  <c r="AE499" i="7"/>
  <c r="AD499" i="7"/>
  <c r="AC499" i="7"/>
  <c r="AB499" i="7"/>
  <c r="AA499" i="7"/>
  <c r="Z499" i="7"/>
  <c r="AE498" i="7"/>
  <c r="AD498" i="7"/>
  <c r="AC498" i="7"/>
  <c r="AB498" i="7"/>
  <c r="AA498" i="7"/>
  <c r="Z498" i="7"/>
  <c r="R497" i="7"/>
  <c r="R501" i="7" s="1"/>
  <c r="AE501" i="7" s="1"/>
  <c r="Q497" i="7"/>
  <c r="Q501" i="7" s="1"/>
  <c r="AD501" i="7" s="1"/>
  <c r="P497" i="7"/>
  <c r="AC497" i="7" s="1"/>
  <c r="O497" i="7"/>
  <c r="O501" i="7" s="1"/>
  <c r="AB501" i="7" s="1"/>
  <c r="N497" i="7"/>
  <c r="AA497" i="7" s="1"/>
  <c r="M497" i="7"/>
  <c r="M501" i="7" s="1"/>
  <c r="Z501" i="7" s="1"/>
  <c r="AE496" i="7"/>
  <c r="AD496" i="7"/>
  <c r="AC496" i="7"/>
  <c r="AB496" i="7"/>
  <c r="AA496" i="7"/>
  <c r="Z496" i="7"/>
  <c r="AE494" i="7"/>
  <c r="AD494" i="7"/>
  <c r="AC494" i="7"/>
  <c r="AB494" i="7"/>
  <c r="AA494" i="7"/>
  <c r="Z494" i="7"/>
  <c r="AE493" i="7"/>
  <c r="AD493" i="7"/>
  <c r="AC493" i="7"/>
  <c r="AB493" i="7"/>
  <c r="AA493" i="7"/>
  <c r="Z493" i="7"/>
  <c r="AE492" i="7"/>
  <c r="AD492" i="7"/>
  <c r="AC492" i="7"/>
  <c r="AB492" i="7"/>
  <c r="AA492" i="7"/>
  <c r="Z492" i="7"/>
  <c r="AA491" i="7"/>
  <c r="R491" i="7"/>
  <c r="R495" i="7" s="1"/>
  <c r="AE495" i="7" s="1"/>
  <c r="Q491" i="7"/>
  <c r="Q495" i="7" s="1"/>
  <c r="AD495" i="7" s="1"/>
  <c r="P491" i="7"/>
  <c r="P495" i="7" s="1"/>
  <c r="AC495" i="7" s="1"/>
  <c r="O491" i="7"/>
  <c r="O495" i="7" s="1"/>
  <c r="AB495" i="7" s="1"/>
  <c r="N491" i="7"/>
  <c r="N495" i="7" s="1"/>
  <c r="AA495" i="7" s="1"/>
  <c r="M491" i="7"/>
  <c r="M495" i="7" s="1"/>
  <c r="Z495" i="7" s="1"/>
  <c r="AG490" i="7"/>
  <c r="AE490" i="7"/>
  <c r="AD490" i="7"/>
  <c r="AC490" i="7"/>
  <c r="AB490" i="7"/>
  <c r="AA490" i="7"/>
  <c r="Z490" i="7"/>
  <c r="AE488" i="7"/>
  <c r="AD488" i="7"/>
  <c r="AC488" i="7"/>
  <c r="AB488" i="7"/>
  <c r="AA488" i="7"/>
  <c r="Z488" i="7"/>
  <c r="AE487" i="7"/>
  <c r="AD487" i="7"/>
  <c r="AC487" i="7"/>
  <c r="AB487" i="7"/>
  <c r="AA487" i="7"/>
  <c r="Z487" i="7"/>
  <c r="AE486" i="7"/>
  <c r="AD486" i="7"/>
  <c r="AC486" i="7"/>
  <c r="AB486" i="7"/>
  <c r="AA486" i="7"/>
  <c r="Z486" i="7"/>
  <c r="R485" i="7"/>
  <c r="R489" i="7" s="1"/>
  <c r="AE489" i="7" s="1"/>
  <c r="Q485" i="7"/>
  <c r="Q489" i="7" s="1"/>
  <c r="AD489" i="7" s="1"/>
  <c r="P485" i="7"/>
  <c r="P489" i="7" s="1"/>
  <c r="AC489" i="7" s="1"/>
  <c r="O485" i="7"/>
  <c r="O489" i="7" s="1"/>
  <c r="AB489" i="7" s="1"/>
  <c r="N485" i="7"/>
  <c r="AA485" i="7" s="1"/>
  <c r="M485" i="7"/>
  <c r="Z485" i="7" s="1"/>
  <c r="AG484" i="7"/>
  <c r="AE484" i="7"/>
  <c r="AD484" i="7"/>
  <c r="AC484" i="7"/>
  <c r="AB484" i="7"/>
  <c r="AA484" i="7"/>
  <c r="Z484" i="7"/>
  <c r="AE482" i="7"/>
  <c r="AD482" i="7"/>
  <c r="AC482" i="7"/>
  <c r="AB482" i="7"/>
  <c r="AA482" i="7"/>
  <c r="Z482" i="7"/>
  <c r="AE481" i="7"/>
  <c r="AD481" i="7"/>
  <c r="AC481" i="7"/>
  <c r="AB481" i="7"/>
  <c r="AA481" i="7"/>
  <c r="Z481" i="7"/>
  <c r="AE480" i="7"/>
  <c r="AD480" i="7"/>
  <c r="AC480" i="7"/>
  <c r="AB480" i="7"/>
  <c r="AA480" i="7"/>
  <c r="Z480" i="7"/>
  <c r="R479" i="7"/>
  <c r="R483" i="7" s="1"/>
  <c r="AE483" i="7" s="1"/>
  <c r="Q479" i="7"/>
  <c r="AD479" i="7" s="1"/>
  <c r="P479" i="7"/>
  <c r="AC479" i="7" s="1"/>
  <c r="O479" i="7"/>
  <c r="N479" i="7"/>
  <c r="N483" i="7" s="1"/>
  <c r="AA483" i="7" s="1"/>
  <c r="M479" i="7"/>
  <c r="M483" i="7" s="1"/>
  <c r="Z483" i="7" s="1"/>
  <c r="AG478" i="7"/>
  <c r="AE478" i="7"/>
  <c r="AD478" i="7"/>
  <c r="AC478" i="7"/>
  <c r="AB478" i="7"/>
  <c r="AA478" i="7"/>
  <c r="Z478" i="7"/>
  <c r="AE476" i="7"/>
  <c r="AD476" i="7"/>
  <c r="AC476" i="7"/>
  <c r="AB476" i="7"/>
  <c r="AA476" i="7"/>
  <c r="Z476" i="7"/>
  <c r="AE475" i="7"/>
  <c r="AD475" i="7"/>
  <c r="AC475" i="7"/>
  <c r="AB475" i="7"/>
  <c r="AA475" i="7"/>
  <c r="Z475" i="7"/>
  <c r="AE474" i="7"/>
  <c r="AD474" i="7"/>
  <c r="AC474" i="7"/>
  <c r="AB474" i="7"/>
  <c r="AA474" i="7"/>
  <c r="Z474" i="7"/>
  <c r="R473" i="7"/>
  <c r="R477" i="7" s="1"/>
  <c r="AE477" i="7" s="1"/>
  <c r="Q473" i="7"/>
  <c r="Q477" i="7" s="1"/>
  <c r="AD477" i="7" s="1"/>
  <c r="P473" i="7"/>
  <c r="P477" i="7" s="1"/>
  <c r="AC477" i="7" s="1"/>
  <c r="O473" i="7"/>
  <c r="O477" i="7" s="1"/>
  <c r="AB477" i="7" s="1"/>
  <c r="N473" i="7"/>
  <c r="N477" i="7" s="1"/>
  <c r="AA477" i="7" s="1"/>
  <c r="M473" i="7"/>
  <c r="M477" i="7" s="1"/>
  <c r="Z477" i="7" s="1"/>
  <c r="AG472" i="7"/>
  <c r="AE472" i="7"/>
  <c r="AD472" i="7"/>
  <c r="AC472" i="7"/>
  <c r="AB472" i="7"/>
  <c r="AA472" i="7"/>
  <c r="Z472" i="7"/>
  <c r="AE470" i="7"/>
  <c r="AD470" i="7"/>
  <c r="AC470" i="7"/>
  <c r="AB470" i="7"/>
  <c r="AA470" i="7"/>
  <c r="Z470" i="7"/>
  <c r="AE469" i="7"/>
  <c r="AD469" i="7"/>
  <c r="AC469" i="7"/>
  <c r="AB469" i="7"/>
  <c r="AA469" i="7"/>
  <c r="Z469" i="7"/>
  <c r="AE468" i="7"/>
  <c r="AD468" i="7"/>
  <c r="AC468" i="7"/>
  <c r="AB468" i="7"/>
  <c r="AA468" i="7"/>
  <c r="Z468" i="7"/>
  <c r="R467" i="7"/>
  <c r="R471" i="7" s="1"/>
  <c r="AE471" i="7" s="1"/>
  <c r="Q467" i="7"/>
  <c r="Q471" i="7" s="1"/>
  <c r="AD471" i="7" s="1"/>
  <c r="P467" i="7"/>
  <c r="P471" i="7" s="1"/>
  <c r="AC471" i="7" s="1"/>
  <c r="O467" i="7"/>
  <c r="O471" i="7" s="1"/>
  <c r="AB471" i="7" s="1"/>
  <c r="N467" i="7"/>
  <c r="N471" i="7" s="1"/>
  <c r="AA471" i="7" s="1"/>
  <c r="M467" i="7"/>
  <c r="M471" i="7" s="1"/>
  <c r="Z471" i="7" s="1"/>
  <c r="AG466" i="7"/>
  <c r="AE466" i="7"/>
  <c r="AD466" i="7"/>
  <c r="AC466" i="7"/>
  <c r="AB466" i="7"/>
  <c r="AA466" i="7"/>
  <c r="Z466" i="7"/>
  <c r="AE464" i="7"/>
  <c r="AD464" i="7"/>
  <c r="AC464" i="7"/>
  <c r="AB464" i="7"/>
  <c r="AA464" i="7"/>
  <c r="Z464" i="7"/>
  <c r="AE463" i="7"/>
  <c r="AD463" i="7"/>
  <c r="AC463" i="7"/>
  <c r="AB463" i="7"/>
  <c r="AA463" i="7"/>
  <c r="Z463" i="7"/>
  <c r="AE462" i="7"/>
  <c r="AD462" i="7"/>
  <c r="AC462" i="7"/>
  <c r="AB462" i="7"/>
  <c r="AA462" i="7"/>
  <c r="Z462" i="7"/>
  <c r="R461" i="7"/>
  <c r="R465" i="7" s="1"/>
  <c r="AE465" i="7" s="1"/>
  <c r="Q461" i="7"/>
  <c r="Q465" i="7" s="1"/>
  <c r="AD465" i="7" s="1"/>
  <c r="P461" i="7"/>
  <c r="P465" i="7" s="1"/>
  <c r="AC465" i="7" s="1"/>
  <c r="O461" i="7"/>
  <c r="O465" i="7" s="1"/>
  <c r="AB465" i="7" s="1"/>
  <c r="N461" i="7"/>
  <c r="N465" i="7" s="1"/>
  <c r="AA465" i="7" s="1"/>
  <c r="M461" i="7"/>
  <c r="M465" i="7" s="1"/>
  <c r="Z465" i="7" s="1"/>
  <c r="AG460" i="7"/>
  <c r="AE460" i="7"/>
  <c r="AD460" i="7"/>
  <c r="AC460" i="7"/>
  <c r="AB460" i="7"/>
  <c r="AA460" i="7"/>
  <c r="Z460" i="7"/>
  <c r="AE458" i="7"/>
  <c r="AD458" i="7"/>
  <c r="AC458" i="7"/>
  <c r="AB458" i="7"/>
  <c r="AA458" i="7"/>
  <c r="Z458" i="7"/>
  <c r="AE457" i="7"/>
  <c r="AD457" i="7"/>
  <c r="AC457" i="7"/>
  <c r="AB457" i="7"/>
  <c r="AA457" i="7"/>
  <c r="Z457" i="7"/>
  <c r="AE456" i="7"/>
  <c r="AD456" i="7"/>
  <c r="AC456" i="7"/>
  <c r="AB456" i="7"/>
  <c r="AA456" i="7"/>
  <c r="Z456" i="7"/>
  <c r="R455" i="7"/>
  <c r="R459" i="7" s="1"/>
  <c r="AE459" i="7" s="1"/>
  <c r="Q455" i="7"/>
  <c r="Q459" i="7" s="1"/>
  <c r="AD459" i="7" s="1"/>
  <c r="P455" i="7"/>
  <c r="P459" i="7" s="1"/>
  <c r="AC459" i="7" s="1"/>
  <c r="O455" i="7"/>
  <c r="O459" i="7" s="1"/>
  <c r="AB459" i="7" s="1"/>
  <c r="N455" i="7"/>
  <c r="N459" i="7" s="1"/>
  <c r="AA459" i="7" s="1"/>
  <c r="M455" i="7"/>
  <c r="M459" i="7" s="1"/>
  <c r="Z459" i="7" s="1"/>
  <c r="AE454" i="7"/>
  <c r="AD454" i="7"/>
  <c r="AC454" i="7"/>
  <c r="AB454" i="7"/>
  <c r="AA454" i="7"/>
  <c r="Z454" i="7"/>
  <c r="AE452" i="7"/>
  <c r="AD452" i="7"/>
  <c r="AC452" i="7"/>
  <c r="AB452" i="7"/>
  <c r="AA452" i="7"/>
  <c r="Z452" i="7"/>
  <c r="AE451" i="7"/>
  <c r="AD451" i="7"/>
  <c r="AC451" i="7"/>
  <c r="AB451" i="7"/>
  <c r="AA451" i="7"/>
  <c r="Z451" i="7"/>
  <c r="AE450" i="7"/>
  <c r="AD450" i="7"/>
  <c r="AC450" i="7"/>
  <c r="AB450" i="7"/>
  <c r="AA450" i="7"/>
  <c r="Z450" i="7"/>
  <c r="R449" i="7"/>
  <c r="R453" i="7" s="1"/>
  <c r="AE453" i="7" s="1"/>
  <c r="Q449" i="7"/>
  <c r="Q453" i="7" s="1"/>
  <c r="AD453" i="7" s="1"/>
  <c r="P449" i="7"/>
  <c r="P453" i="7" s="1"/>
  <c r="AC453" i="7" s="1"/>
  <c r="O449" i="7"/>
  <c r="O453" i="7" s="1"/>
  <c r="AB453" i="7" s="1"/>
  <c r="N449" i="7"/>
  <c r="N453" i="7" s="1"/>
  <c r="AA453" i="7" s="1"/>
  <c r="M449" i="7"/>
  <c r="M453" i="7" s="1"/>
  <c r="Z453" i="7" s="1"/>
  <c r="AG448" i="7"/>
  <c r="AE448" i="7"/>
  <c r="AD448" i="7"/>
  <c r="AC448" i="7"/>
  <c r="AB448" i="7"/>
  <c r="AA448" i="7"/>
  <c r="Z448" i="7"/>
  <c r="AE446" i="7"/>
  <c r="AD446" i="7"/>
  <c r="AC446" i="7"/>
  <c r="AB446" i="7"/>
  <c r="AA446" i="7"/>
  <c r="Z446" i="7"/>
  <c r="AE445" i="7"/>
  <c r="AD445" i="7"/>
  <c r="AC445" i="7"/>
  <c r="AB445" i="7"/>
  <c r="AA445" i="7"/>
  <c r="Z445" i="7"/>
  <c r="AE444" i="7"/>
  <c r="AD444" i="7"/>
  <c r="AC444" i="7"/>
  <c r="AB444" i="7"/>
  <c r="AA444" i="7"/>
  <c r="Z444" i="7"/>
  <c r="R443" i="7"/>
  <c r="R447" i="7" s="1"/>
  <c r="AE447" i="7" s="1"/>
  <c r="Q443" i="7"/>
  <c r="Q447" i="7" s="1"/>
  <c r="AD447" i="7" s="1"/>
  <c r="P443" i="7"/>
  <c r="O443" i="7"/>
  <c r="O447" i="7" s="1"/>
  <c r="AB447" i="7" s="1"/>
  <c r="N443" i="7"/>
  <c r="N447" i="7" s="1"/>
  <c r="AA447" i="7" s="1"/>
  <c r="M443" i="7"/>
  <c r="Z443" i="7" s="1"/>
  <c r="AG442" i="7"/>
  <c r="AE442" i="7"/>
  <c r="AD442" i="7"/>
  <c r="AC442" i="7"/>
  <c r="AB442" i="7"/>
  <c r="AA442" i="7"/>
  <c r="Z442" i="7"/>
  <c r="AA441" i="7"/>
  <c r="Z441" i="7"/>
  <c r="AE440" i="7"/>
  <c r="AD440" i="7"/>
  <c r="AC440" i="7"/>
  <c r="AB440" i="7"/>
  <c r="AA440" i="7"/>
  <c r="Z440" i="7"/>
  <c r="AE439" i="7"/>
  <c r="AD439" i="7"/>
  <c r="AC439" i="7"/>
  <c r="AB439" i="7"/>
  <c r="AA439" i="7"/>
  <c r="Z439" i="7"/>
  <c r="AE438" i="7"/>
  <c r="AD438" i="7"/>
  <c r="AC438" i="7"/>
  <c r="AB438" i="7"/>
  <c r="AA438" i="7"/>
  <c r="Z438" i="7"/>
  <c r="AA437" i="7"/>
  <c r="Z437" i="7"/>
  <c r="R437" i="7"/>
  <c r="R441" i="7" s="1"/>
  <c r="AE441" i="7" s="1"/>
  <c r="Q437" i="7"/>
  <c r="AD437" i="7" s="1"/>
  <c r="P437" i="7"/>
  <c r="AC437" i="7" s="1"/>
  <c r="O437" i="7"/>
  <c r="O441" i="7" s="1"/>
  <c r="AB441" i="7" s="1"/>
  <c r="AG436" i="7"/>
  <c r="AE436" i="7"/>
  <c r="AD436" i="7"/>
  <c r="AC436" i="7"/>
  <c r="AB436" i="7"/>
  <c r="AA436" i="7"/>
  <c r="Z436" i="7"/>
  <c r="AE435" i="7"/>
  <c r="AD435" i="7"/>
  <c r="AC435" i="7"/>
  <c r="AB435" i="7"/>
  <c r="AA435" i="7"/>
  <c r="Z435" i="7"/>
  <c r="AE434" i="7"/>
  <c r="AD434" i="7"/>
  <c r="AC434" i="7"/>
  <c r="AB434" i="7"/>
  <c r="AA434" i="7"/>
  <c r="Z434" i="7"/>
  <c r="AE433" i="7"/>
  <c r="AD433" i="7"/>
  <c r="AC433" i="7"/>
  <c r="AB433" i="7"/>
  <c r="AA433" i="7"/>
  <c r="Z433" i="7"/>
  <c r="AE432" i="7"/>
  <c r="AD432" i="7"/>
  <c r="AC432" i="7"/>
  <c r="AB432" i="7"/>
  <c r="AA432" i="7"/>
  <c r="Z432" i="7"/>
  <c r="AE431" i="7"/>
  <c r="AD431" i="7"/>
  <c r="AC431" i="7"/>
  <c r="AB431" i="7"/>
  <c r="AA431" i="7"/>
  <c r="Z431" i="7"/>
  <c r="AG430" i="7"/>
  <c r="AE430" i="7"/>
  <c r="AD430" i="7"/>
  <c r="AC430" i="7"/>
  <c r="AB430" i="7"/>
  <c r="AA430" i="7"/>
  <c r="Z430" i="7"/>
  <c r="AD429" i="7"/>
  <c r="AC429" i="7"/>
  <c r="AB429" i="7"/>
  <c r="AA429" i="7"/>
  <c r="Z429" i="7"/>
  <c r="AE428" i="7"/>
  <c r="AD428" i="7"/>
  <c r="AC428" i="7"/>
  <c r="AB428" i="7"/>
  <c r="AA428" i="7"/>
  <c r="Z428" i="7"/>
  <c r="AE427" i="7"/>
  <c r="AD427" i="7"/>
  <c r="AC427" i="7"/>
  <c r="AB427" i="7"/>
  <c r="AA427" i="7"/>
  <c r="Z427" i="7"/>
  <c r="AE426" i="7"/>
  <c r="AD426" i="7"/>
  <c r="AC426" i="7"/>
  <c r="AB426" i="7"/>
  <c r="AA426" i="7"/>
  <c r="Z426" i="7"/>
  <c r="AD425" i="7"/>
  <c r="AC425" i="7"/>
  <c r="AB425" i="7"/>
  <c r="AA425" i="7"/>
  <c r="Z425" i="7"/>
  <c r="R425" i="7"/>
  <c r="AE425" i="7" s="1"/>
  <c r="AG424" i="7"/>
  <c r="AE424" i="7"/>
  <c r="AD424" i="7"/>
  <c r="AC424" i="7"/>
  <c r="AB424" i="7"/>
  <c r="AA424" i="7"/>
  <c r="Z424" i="7"/>
  <c r="AE422" i="7"/>
  <c r="AD422" i="7"/>
  <c r="AC422" i="7"/>
  <c r="AB422" i="7"/>
  <c r="AA422" i="7"/>
  <c r="Z422" i="7"/>
  <c r="AE421" i="7"/>
  <c r="AD421" i="7"/>
  <c r="AC421" i="7"/>
  <c r="AB421" i="7"/>
  <c r="AA421" i="7"/>
  <c r="Z421" i="7"/>
  <c r="AE420" i="7"/>
  <c r="AD420" i="7"/>
  <c r="AC420" i="7"/>
  <c r="AB420" i="7"/>
  <c r="AA420" i="7"/>
  <c r="Z420" i="7"/>
  <c r="R419" i="7"/>
  <c r="R423" i="7" s="1"/>
  <c r="AE423" i="7" s="1"/>
  <c r="Q419" i="7"/>
  <c r="Q423" i="7" s="1"/>
  <c r="AD423" i="7" s="1"/>
  <c r="P419" i="7"/>
  <c r="P423" i="7" s="1"/>
  <c r="AC423" i="7" s="1"/>
  <c r="O419" i="7"/>
  <c r="O423" i="7" s="1"/>
  <c r="AB423" i="7" s="1"/>
  <c r="N419" i="7"/>
  <c r="N423" i="7" s="1"/>
  <c r="AA423" i="7" s="1"/>
  <c r="M419" i="7"/>
  <c r="M423" i="7" s="1"/>
  <c r="Z423" i="7" s="1"/>
  <c r="AG418" i="7"/>
  <c r="AE418" i="7"/>
  <c r="AD418" i="7"/>
  <c r="AC418" i="7"/>
  <c r="AB418" i="7"/>
  <c r="AA418" i="7"/>
  <c r="Z418" i="7"/>
  <c r="AE417" i="7"/>
  <c r="AD417" i="7"/>
  <c r="AC417" i="7"/>
  <c r="AB417" i="7"/>
  <c r="AA417" i="7"/>
  <c r="Z417" i="7"/>
  <c r="AE416" i="7"/>
  <c r="AD416" i="7"/>
  <c r="AC416" i="7"/>
  <c r="AB416" i="7"/>
  <c r="AA416" i="7"/>
  <c r="Z416" i="7"/>
  <c r="AE415" i="7"/>
  <c r="AD415" i="7"/>
  <c r="AC415" i="7"/>
  <c r="AB415" i="7"/>
  <c r="AA415" i="7"/>
  <c r="Z415" i="7"/>
  <c r="AE414" i="7"/>
  <c r="AD414" i="7"/>
  <c r="AC414" i="7"/>
  <c r="AB414" i="7"/>
  <c r="AA414" i="7"/>
  <c r="Z414" i="7"/>
  <c r="AE413" i="7"/>
  <c r="AD413" i="7"/>
  <c r="AC413" i="7"/>
  <c r="AB413" i="7"/>
  <c r="AA413" i="7"/>
  <c r="Z413" i="7"/>
  <c r="AE412" i="7"/>
  <c r="AD412" i="7"/>
  <c r="AC412" i="7"/>
  <c r="AB412" i="7"/>
  <c r="AA412" i="7"/>
  <c r="Z412" i="7"/>
  <c r="AE410" i="7"/>
  <c r="AD410" i="7"/>
  <c r="AC410" i="7"/>
  <c r="AB410" i="7"/>
  <c r="AA410" i="7"/>
  <c r="Z410" i="7"/>
  <c r="AE409" i="7"/>
  <c r="AD409" i="7"/>
  <c r="AC409" i="7"/>
  <c r="AB409" i="7"/>
  <c r="AA409" i="7"/>
  <c r="Z409" i="7"/>
  <c r="AE408" i="7"/>
  <c r="AD408" i="7"/>
  <c r="AC408" i="7"/>
  <c r="AB408" i="7"/>
  <c r="AA408" i="7"/>
  <c r="Z408" i="7"/>
  <c r="R407" i="7"/>
  <c r="R411" i="7" s="1"/>
  <c r="AE411" i="7" s="1"/>
  <c r="Q407" i="7"/>
  <c r="Q411" i="7" s="1"/>
  <c r="AD411" i="7" s="1"/>
  <c r="P407" i="7"/>
  <c r="P411" i="7" s="1"/>
  <c r="AC411" i="7" s="1"/>
  <c r="O407" i="7"/>
  <c r="O411" i="7" s="1"/>
  <c r="AB411" i="7" s="1"/>
  <c r="N407" i="7"/>
  <c r="N411" i="7" s="1"/>
  <c r="AA411" i="7" s="1"/>
  <c r="M407" i="7"/>
  <c r="M411" i="7" s="1"/>
  <c r="Z411" i="7" s="1"/>
  <c r="AG406" i="7"/>
  <c r="AE406" i="7"/>
  <c r="AD406" i="7"/>
  <c r="AC406" i="7"/>
  <c r="AB406" i="7"/>
  <c r="AA406" i="7"/>
  <c r="Z406" i="7"/>
  <c r="AE404" i="7"/>
  <c r="AD404" i="7"/>
  <c r="AC404" i="7"/>
  <c r="AB404" i="7"/>
  <c r="AA404" i="7"/>
  <c r="Z404" i="7"/>
  <c r="AB403" i="7"/>
  <c r="AA403" i="7"/>
  <c r="Z403" i="7"/>
  <c r="R403" i="7"/>
  <c r="R529" i="7" s="1"/>
  <c r="Q403" i="7"/>
  <c r="P403" i="7"/>
  <c r="AE402" i="7"/>
  <c r="AD402" i="7"/>
  <c r="AC402" i="7"/>
  <c r="AB402" i="7"/>
  <c r="AA402" i="7"/>
  <c r="Z402" i="7"/>
  <c r="R401" i="7"/>
  <c r="AE401" i="7" s="1"/>
  <c r="Q401" i="7"/>
  <c r="P401" i="7"/>
  <c r="O401" i="7"/>
  <c r="O405" i="7" s="1"/>
  <c r="N401" i="7"/>
  <c r="M401" i="7"/>
  <c r="AE400" i="7"/>
  <c r="AD400" i="7"/>
  <c r="AC400" i="7"/>
  <c r="AB400" i="7"/>
  <c r="AA400" i="7"/>
  <c r="Z400" i="7"/>
  <c r="AE399" i="7"/>
  <c r="AD399" i="7"/>
  <c r="AC399" i="7"/>
  <c r="AB399" i="7"/>
  <c r="AA399" i="7"/>
  <c r="Z399" i="7"/>
  <c r="R399" i="7"/>
  <c r="Q399" i="7"/>
  <c r="P399" i="7"/>
  <c r="O399" i="7"/>
  <c r="N399" i="7"/>
  <c r="M399" i="7"/>
  <c r="AE392" i="7"/>
  <c r="AD392" i="7"/>
  <c r="AC392" i="7"/>
  <c r="AB392" i="7"/>
  <c r="AA392" i="7"/>
  <c r="Z392" i="7"/>
  <c r="R392" i="7"/>
  <c r="Q392" i="7"/>
  <c r="P392" i="7"/>
  <c r="O392" i="7"/>
  <c r="N392" i="7"/>
  <c r="M392" i="7"/>
  <c r="AE391" i="7"/>
  <c r="AD391" i="7"/>
  <c r="AC391" i="7"/>
  <c r="AB391" i="7"/>
  <c r="AA391" i="7"/>
  <c r="Z391" i="7"/>
  <c r="R391" i="7"/>
  <c r="Q391" i="7"/>
  <c r="P391" i="7"/>
  <c r="O391" i="7"/>
  <c r="N391" i="7"/>
  <c r="M391" i="7"/>
  <c r="AE390" i="7"/>
  <c r="AD390" i="7"/>
  <c r="AC390" i="7"/>
  <c r="AB390" i="7"/>
  <c r="AA390" i="7"/>
  <c r="Z390" i="7"/>
  <c r="R390" i="7"/>
  <c r="Q390" i="7"/>
  <c r="P390" i="7"/>
  <c r="O390" i="7"/>
  <c r="N390" i="7"/>
  <c r="M390" i="7"/>
  <c r="AE389" i="7"/>
  <c r="AD389" i="7"/>
  <c r="AC389" i="7"/>
  <c r="AB389" i="7"/>
  <c r="AA389" i="7"/>
  <c r="Z389" i="7"/>
  <c r="R389" i="7"/>
  <c r="Q389" i="7"/>
  <c r="P389" i="7"/>
  <c r="O389" i="7"/>
  <c r="N389" i="7"/>
  <c r="M389" i="7"/>
  <c r="AE388" i="7"/>
  <c r="AD388" i="7"/>
  <c r="AC388" i="7"/>
  <c r="AB388" i="7"/>
  <c r="AA388" i="7"/>
  <c r="Z388" i="7"/>
  <c r="R388" i="7"/>
  <c r="Q388" i="7"/>
  <c r="P388" i="7"/>
  <c r="O388" i="7"/>
  <c r="N388" i="7"/>
  <c r="M388" i="7"/>
  <c r="AE387" i="7"/>
  <c r="AE393" i="7" s="1"/>
  <c r="AD387" i="7"/>
  <c r="AD393" i="7" s="1"/>
  <c r="AC387" i="7"/>
  <c r="AC393" i="7" s="1"/>
  <c r="AB387" i="7"/>
  <c r="AB393" i="7" s="1"/>
  <c r="AA387" i="7"/>
  <c r="AA393" i="7" s="1"/>
  <c r="Z387" i="7"/>
  <c r="Z393" i="7" s="1"/>
  <c r="R387" i="7"/>
  <c r="R393" i="7" s="1"/>
  <c r="Q387" i="7"/>
  <c r="Q393" i="7" s="1"/>
  <c r="P387" i="7"/>
  <c r="P393" i="7" s="1"/>
  <c r="O387" i="7"/>
  <c r="O393" i="7" s="1"/>
  <c r="N387" i="7"/>
  <c r="N393" i="7" s="1"/>
  <c r="M387" i="7"/>
  <c r="M393" i="7" s="1"/>
  <c r="R380" i="7"/>
  <c r="Q380" i="7"/>
  <c r="P380" i="7"/>
  <c r="O380" i="7"/>
  <c r="N380" i="7"/>
  <c r="M380" i="7"/>
  <c r="R379" i="7"/>
  <c r="Q379" i="7"/>
  <c r="P379" i="7"/>
  <c r="O379" i="7"/>
  <c r="N379" i="7"/>
  <c r="M379" i="7"/>
  <c r="R378" i="7"/>
  <c r="Q378" i="7"/>
  <c r="P378" i="7"/>
  <c r="O378" i="7"/>
  <c r="N378" i="7"/>
  <c r="M378" i="7"/>
  <c r="R376" i="7"/>
  <c r="Q376" i="7"/>
  <c r="P376" i="7"/>
  <c r="O376" i="7"/>
  <c r="N376" i="7"/>
  <c r="M376" i="7"/>
  <c r="R371" i="7"/>
  <c r="R375" i="7" s="1"/>
  <c r="Q371" i="7"/>
  <c r="Q375" i="7" s="1"/>
  <c r="P371" i="7"/>
  <c r="P375" i="7" s="1"/>
  <c r="O371" i="7"/>
  <c r="O375" i="7" s="1"/>
  <c r="N371" i="7"/>
  <c r="N375" i="7" s="1"/>
  <c r="M371" i="7"/>
  <c r="M375" i="7" s="1"/>
  <c r="P369" i="7"/>
  <c r="AC369" i="7" s="1"/>
  <c r="AE368" i="7"/>
  <c r="AD368" i="7"/>
  <c r="AC368" i="7"/>
  <c r="AE367" i="7"/>
  <c r="AD367" i="7"/>
  <c r="AC367" i="7"/>
  <c r="AE366" i="7"/>
  <c r="AD366" i="7"/>
  <c r="AC366" i="7"/>
  <c r="R365" i="7"/>
  <c r="R369" i="7" s="1"/>
  <c r="AE369" i="7" s="1"/>
  <c r="Q365" i="7"/>
  <c r="AD365" i="7" s="1"/>
  <c r="P365" i="7"/>
  <c r="AC365" i="7" s="1"/>
  <c r="AE364" i="7"/>
  <c r="AD364" i="7"/>
  <c r="AC364" i="7"/>
  <c r="R363" i="7"/>
  <c r="AE363" i="7" s="1"/>
  <c r="AE362" i="7"/>
  <c r="AD362" i="7"/>
  <c r="AC362" i="7"/>
  <c r="AE361" i="7"/>
  <c r="AD361" i="7"/>
  <c r="AC361" i="7"/>
  <c r="AE360" i="7"/>
  <c r="AD360" i="7"/>
  <c r="AC360" i="7"/>
  <c r="R359" i="7"/>
  <c r="AE359" i="7" s="1"/>
  <c r="Q359" i="7"/>
  <c r="Q363" i="7" s="1"/>
  <c r="AD363" i="7" s="1"/>
  <c r="P359" i="7"/>
  <c r="P363" i="7" s="1"/>
  <c r="AC363" i="7" s="1"/>
  <c r="AE358" i="7"/>
  <c r="AD358" i="7"/>
  <c r="AC358" i="7"/>
  <c r="AE356" i="7"/>
  <c r="AD356" i="7"/>
  <c r="AC356" i="7"/>
  <c r="AB356" i="7"/>
  <c r="AA356" i="7"/>
  <c r="Z356" i="7"/>
  <c r="AE355" i="7"/>
  <c r="AD355" i="7"/>
  <c r="AC355" i="7"/>
  <c r="AB355" i="7"/>
  <c r="AA355" i="7"/>
  <c r="Z355" i="7"/>
  <c r="AE354" i="7"/>
  <c r="AD354" i="7"/>
  <c r="AC354" i="7"/>
  <c r="AB354" i="7"/>
  <c r="AA354" i="7"/>
  <c r="Z354" i="7"/>
  <c r="R353" i="7"/>
  <c r="R357" i="7" s="1"/>
  <c r="AE357" i="7" s="1"/>
  <c r="Q353" i="7"/>
  <c r="Q357" i="7" s="1"/>
  <c r="AD357" i="7" s="1"/>
  <c r="P353" i="7"/>
  <c r="P357" i="7" s="1"/>
  <c r="AC357" i="7" s="1"/>
  <c r="O353" i="7"/>
  <c r="O357" i="7" s="1"/>
  <c r="AB357" i="7" s="1"/>
  <c r="N353" i="7"/>
  <c r="N357" i="7" s="1"/>
  <c r="AA357" i="7" s="1"/>
  <c r="M353" i="7"/>
  <c r="Z353" i="7" s="1"/>
  <c r="AE352" i="7"/>
  <c r="AD352" i="7"/>
  <c r="AC352" i="7"/>
  <c r="AB352" i="7"/>
  <c r="AA352" i="7"/>
  <c r="Z352" i="7"/>
  <c r="AE350" i="7"/>
  <c r="AD350" i="7"/>
  <c r="AC350" i="7"/>
  <c r="AB350" i="7"/>
  <c r="AA350" i="7"/>
  <c r="Z350" i="7"/>
  <c r="AE349" i="7"/>
  <c r="AD349" i="7"/>
  <c r="AC349" i="7"/>
  <c r="AB349" i="7"/>
  <c r="AA349" i="7"/>
  <c r="Z349" i="7"/>
  <c r="AE348" i="7"/>
  <c r="AD348" i="7"/>
  <c r="AC348" i="7"/>
  <c r="AB348" i="7"/>
  <c r="AA348" i="7"/>
  <c r="Z348" i="7"/>
  <c r="R347" i="7"/>
  <c r="R351" i="7" s="1"/>
  <c r="AE351" i="7" s="1"/>
  <c r="Q347" i="7"/>
  <c r="Q351" i="7" s="1"/>
  <c r="AD351" i="7" s="1"/>
  <c r="P347" i="7"/>
  <c r="P351" i="7" s="1"/>
  <c r="AC351" i="7" s="1"/>
  <c r="O347" i="7"/>
  <c r="AB347" i="7" s="1"/>
  <c r="N347" i="7"/>
  <c r="N351" i="7" s="1"/>
  <c r="AA351" i="7" s="1"/>
  <c r="M347" i="7"/>
  <c r="Z347" i="7" s="1"/>
  <c r="AE346" i="7"/>
  <c r="AD346" i="7"/>
  <c r="AC346" i="7"/>
  <c r="AB346" i="7"/>
  <c r="AA346" i="7"/>
  <c r="Z346" i="7"/>
  <c r="AE344" i="7"/>
  <c r="AD344" i="7"/>
  <c r="AC344" i="7"/>
  <c r="AB344" i="7"/>
  <c r="AA344" i="7"/>
  <c r="Z344" i="7"/>
  <c r="AE343" i="7"/>
  <c r="AD343" i="7"/>
  <c r="AC343" i="7"/>
  <c r="AB343" i="7"/>
  <c r="AA343" i="7"/>
  <c r="Z343" i="7"/>
  <c r="AE342" i="7"/>
  <c r="AD342" i="7"/>
  <c r="AC342" i="7"/>
  <c r="AB342" i="7"/>
  <c r="AA342" i="7"/>
  <c r="Z342" i="7"/>
  <c r="R341" i="7"/>
  <c r="R345" i="7" s="1"/>
  <c r="AE345" i="7" s="1"/>
  <c r="Q341" i="7"/>
  <c r="Q345" i="7" s="1"/>
  <c r="AD345" i="7" s="1"/>
  <c r="P341" i="7"/>
  <c r="P345" i="7" s="1"/>
  <c r="AC345" i="7" s="1"/>
  <c r="O341" i="7"/>
  <c r="O345" i="7" s="1"/>
  <c r="AB345" i="7" s="1"/>
  <c r="N341" i="7"/>
  <c r="N345" i="7" s="1"/>
  <c r="AA345" i="7" s="1"/>
  <c r="M341" i="7"/>
  <c r="M345" i="7" s="1"/>
  <c r="Z345" i="7" s="1"/>
  <c r="AE340" i="7"/>
  <c r="AD340" i="7"/>
  <c r="AC340" i="7"/>
  <c r="AB340" i="7"/>
  <c r="AA340" i="7"/>
  <c r="Z340" i="7"/>
  <c r="AE338" i="7"/>
  <c r="AD338" i="7"/>
  <c r="AC338" i="7"/>
  <c r="AB338" i="7"/>
  <c r="AA338" i="7"/>
  <c r="Z338" i="7"/>
  <c r="AE337" i="7"/>
  <c r="AD337" i="7"/>
  <c r="AC337" i="7"/>
  <c r="AB337" i="7"/>
  <c r="AA337" i="7"/>
  <c r="Z337" i="7"/>
  <c r="AE336" i="7"/>
  <c r="AD336" i="7"/>
  <c r="AC336" i="7"/>
  <c r="AB336" i="7"/>
  <c r="AA336" i="7"/>
  <c r="Z336" i="7"/>
  <c r="R335" i="7"/>
  <c r="R339" i="7" s="1"/>
  <c r="AE339" i="7" s="1"/>
  <c r="Q335" i="7"/>
  <c r="Q339" i="7" s="1"/>
  <c r="AD339" i="7" s="1"/>
  <c r="P335" i="7"/>
  <c r="AC335" i="7" s="1"/>
  <c r="O335" i="7"/>
  <c r="AB335" i="7" s="1"/>
  <c r="N335" i="7"/>
  <c r="AA335" i="7" s="1"/>
  <c r="M335" i="7"/>
  <c r="Z335" i="7" s="1"/>
  <c r="AE334" i="7"/>
  <c r="AD334" i="7"/>
  <c r="AC334" i="7"/>
  <c r="AB334" i="7"/>
  <c r="AA334" i="7"/>
  <c r="Z334" i="7"/>
  <c r="Y333" i="7"/>
  <c r="AE332" i="7"/>
  <c r="AD332" i="7"/>
  <c r="AC332" i="7"/>
  <c r="AB332" i="7"/>
  <c r="AA332" i="7"/>
  <c r="Z332" i="7"/>
  <c r="Y332" i="7"/>
  <c r="AE331" i="7"/>
  <c r="AD331" i="7"/>
  <c r="AC331" i="7"/>
  <c r="AB331" i="7"/>
  <c r="AA331" i="7"/>
  <c r="Z331" i="7"/>
  <c r="Y331" i="7"/>
  <c r="AE330" i="7"/>
  <c r="AD330" i="7"/>
  <c r="AC330" i="7"/>
  <c r="AB330" i="7"/>
  <c r="AA330" i="7"/>
  <c r="Z330" i="7"/>
  <c r="Y330" i="7"/>
  <c r="AD329" i="7"/>
  <c r="Y329" i="7"/>
  <c r="R329" i="7"/>
  <c r="AE329" i="7" s="1"/>
  <c r="Q329" i="7"/>
  <c r="Q333" i="7" s="1"/>
  <c r="AD333" i="7" s="1"/>
  <c r="P329" i="7"/>
  <c r="O329" i="7"/>
  <c r="O333" i="7" s="1"/>
  <c r="AB333" i="7" s="1"/>
  <c r="N329" i="7"/>
  <c r="N333" i="7" s="1"/>
  <c r="AA333" i="7" s="1"/>
  <c r="M329" i="7"/>
  <c r="Z329" i="7" s="1"/>
  <c r="AE328" i="7"/>
  <c r="AD328" i="7"/>
  <c r="AC328" i="7"/>
  <c r="AB328" i="7"/>
  <c r="AA328" i="7"/>
  <c r="Z328" i="7"/>
  <c r="Y328" i="7"/>
  <c r="Y327" i="7"/>
  <c r="AE326" i="7"/>
  <c r="AD326" i="7"/>
  <c r="AC326" i="7"/>
  <c r="AB326" i="7"/>
  <c r="AA326" i="7"/>
  <c r="Z326" i="7"/>
  <c r="Y326" i="7"/>
  <c r="AE325" i="7"/>
  <c r="AD325" i="7"/>
  <c r="AC325" i="7"/>
  <c r="AB325" i="7"/>
  <c r="AA325" i="7"/>
  <c r="Z325" i="7"/>
  <c r="Y325" i="7"/>
  <c r="AE324" i="7"/>
  <c r="AD324" i="7"/>
  <c r="AC324" i="7"/>
  <c r="AB324" i="7"/>
  <c r="AA324" i="7"/>
  <c r="Z324" i="7"/>
  <c r="Y324" i="7"/>
  <c r="Y323" i="7"/>
  <c r="R323" i="7"/>
  <c r="AE323" i="7" s="1"/>
  <c r="Q323" i="7"/>
  <c r="AD323" i="7" s="1"/>
  <c r="P323" i="7"/>
  <c r="O323" i="7"/>
  <c r="O327" i="7" s="1"/>
  <c r="AB327" i="7" s="1"/>
  <c r="N323" i="7"/>
  <c r="N327" i="7" s="1"/>
  <c r="AA327" i="7" s="1"/>
  <c r="M323" i="7"/>
  <c r="Z323" i="7" s="1"/>
  <c r="AE322" i="7"/>
  <c r="AD322" i="7"/>
  <c r="AC322" i="7"/>
  <c r="AB322" i="7"/>
  <c r="AA322" i="7"/>
  <c r="Z322" i="7"/>
  <c r="Y322" i="7"/>
  <c r="AE320" i="7"/>
  <c r="AE319" i="7"/>
  <c r="AE318" i="7"/>
  <c r="R317" i="7"/>
  <c r="AE317" i="7" s="1"/>
  <c r="AE316" i="7"/>
  <c r="Y315" i="7"/>
  <c r="P315" i="7"/>
  <c r="AC315" i="7" s="1"/>
  <c r="AE314" i="7"/>
  <c r="AD314" i="7"/>
  <c r="AC314" i="7"/>
  <c r="AB314" i="7"/>
  <c r="AA314" i="7"/>
  <c r="Z314" i="7"/>
  <c r="Y314" i="7"/>
  <c r="AE313" i="7"/>
  <c r="AD313" i="7"/>
  <c r="AC313" i="7"/>
  <c r="AB313" i="7"/>
  <c r="AA313" i="7"/>
  <c r="Z313" i="7"/>
  <c r="Y313" i="7"/>
  <c r="AE312" i="7"/>
  <c r="AD312" i="7"/>
  <c r="AC312" i="7"/>
  <c r="AB312" i="7"/>
  <c r="AA312" i="7"/>
  <c r="Z312" i="7"/>
  <c r="Y312" i="7"/>
  <c r="Y311" i="7"/>
  <c r="R311" i="7"/>
  <c r="Q311" i="7"/>
  <c r="Q315" i="7" s="1"/>
  <c r="AD315" i="7" s="1"/>
  <c r="P311" i="7"/>
  <c r="AC311" i="7" s="1"/>
  <c r="O311" i="7"/>
  <c r="AB311" i="7" s="1"/>
  <c r="N311" i="7"/>
  <c r="N315" i="7" s="1"/>
  <c r="AA315" i="7" s="1"/>
  <c r="M311" i="7"/>
  <c r="M315" i="7" s="1"/>
  <c r="Z315" i="7" s="1"/>
  <c r="AE310" i="7"/>
  <c r="AD310" i="7"/>
  <c r="AC310" i="7"/>
  <c r="AB310" i="7"/>
  <c r="AA310" i="7"/>
  <c r="Z310" i="7"/>
  <c r="Y310" i="7"/>
  <c r="AC309" i="7"/>
  <c r="AB309" i="7"/>
  <c r="AE308" i="7"/>
  <c r="AD308" i="7"/>
  <c r="AC308" i="7"/>
  <c r="AB308" i="7"/>
  <c r="AE307" i="7"/>
  <c r="AD307" i="7"/>
  <c r="AC307" i="7"/>
  <c r="AB307" i="7"/>
  <c r="AE306" i="7"/>
  <c r="AD306" i="7"/>
  <c r="AC306" i="7"/>
  <c r="AB306" i="7"/>
  <c r="AC305" i="7"/>
  <c r="AB305" i="7"/>
  <c r="R305" i="7"/>
  <c r="Q305" i="7"/>
  <c r="Q309" i="7" s="1"/>
  <c r="AD309" i="7" s="1"/>
  <c r="M305" i="7"/>
  <c r="M309" i="7" s="1"/>
  <c r="AE304" i="7"/>
  <c r="AD304" i="7"/>
  <c r="AC304" i="7"/>
  <c r="AB304" i="7"/>
  <c r="Z303" i="7"/>
  <c r="AE302" i="7"/>
  <c r="AD302" i="7"/>
  <c r="AC302" i="7"/>
  <c r="AB302" i="7"/>
  <c r="AA302" i="7"/>
  <c r="Z302" i="7"/>
  <c r="AE301" i="7"/>
  <c r="AD301" i="7"/>
  <c r="AC301" i="7"/>
  <c r="AB301" i="7"/>
  <c r="AA301" i="7"/>
  <c r="Z301" i="7"/>
  <c r="AE300" i="7"/>
  <c r="AD300" i="7"/>
  <c r="AC300" i="7"/>
  <c r="AB300" i="7"/>
  <c r="AA300" i="7"/>
  <c r="Z300" i="7"/>
  <c r="Z299" i="7"/>
  <c r="R299" i="7"/>
  <c r="R303" i="7" s="1"/>
  <c r="AE303" i="7" s="1"/>
  <c r="Q299" i="7"/>
  <c r="AD299" i="7" s="1"/>
  <c r="P299" i="7"/>
  <c r="AC299" i="7" s="1"/>
  <c r="O299" i="7"/>
  <c r="AB299" i="7" s="1"/>
  <c r="N299" i="7"/>
  <c r="AA299" i="7" s="1"/>
  <c r="AE298" i="7"/>
  <c r="AD298" i="7"/>
  <c r="AC298" i="7"/>
  <c r="AB298" i="7"/>
  <c r="AA298" i="7"/>
  <c r="Z298" i="7"/>
  <c r="AE296" i="7"/>
  <c r="AD296" i="7"/>
  <c r="AC296" i="7"/>
  <c r="AB296" i="7"/>
  <c r="AA296" i="7"/>
  <c r="Z296" i="7"/>
  <c r="AE295" i="7"/>
  <c r="AD295" i="7"/>
  <c r="AC295" i="7"/>
  <c r="AB295" i="7"/>
  <c r="AA295" i="7"/>
  <c r="Z295" i="7"/>
  <c r="AE294" i="7"/>
  <c r="AD294" i="7"/>
  <c r="AC294" i="7"/>
  <c r="AB294" i="7"/>
  <c r="AA294" i="7"/>
  <c r="Z294" i="7"/>
  <c r="R293" i="7"/>
  <c r="R297" i="7" s="1"/>
  <c r="AE297" i="7" s="1"/>
  <c r="Q293" i="7"/>
  <c r="P293" i="7"/>
  <c r="P297" i="7" s="1"/>
  <c r="AC297" i="7" s="1"/>
  <c r="O293" i="7"/>
  <c r="O297" i="7" s="1"/>
  <c r="AB297" i="7" s="1"/>
  <c r="N293" i="7"/>
  <c r="N297" i="7" s="1"/>
  <c r="AA297" i="7" s="1"/>
  <c r="M293" i="7"/>
  <c r="M297" i="7" s="1"/>
  <c r="Z297" i="7" s="1"/>
  <c r="AE292" i="7"/>
  <c r="AD292" i="7"/>
  <c r="AC292" i="7"/>
  <c r="AB292" i="7"/>
  <c r="AA292" i="7"/>
  <c r="Z292" i="7"/>
  <c r="AE290" i="7"/>
  <c r="AD290" i="7"/>
  <c r="AC290" i="7"/>
  <c r="AB290" i="7"/>
  <c r="AA290" i="7"/>
  <c r="Z290" i="7"/>
  <c r="AE289" i="7"/>
  <c r="AD289" i="7"/>
  <c r="AC289" i="7"/>
  <c r="AB289" i="7"/>
  <c r="AA289" i="7"/>
  <c r="Z289" i="7"/>
  <c r="AE288" i="7"/>
  <c r="AD288" i="7"/>
  <c r="AC288" i="7"/>
  <c r="AB288" i="7"/>
  <c r="AA288" i="7"/>
  <c r="Z288" i="7"/>
  <c r="R287" i="7"/>
  <c r="R291" i="7" s="1"/>
  <c r="AE291" i="7" s="1"/>
  <c r="Q287" i="7"/>
  <c r="Q291" i="7" s="1"/>
  <c r="AD291" i="7" s="1"/>
  <c r="P287" i="7"/>
  <c r="P291" i="7" s="1"/>
  <c r="AC291" i="7" s="1"/>
  <c r="O287" i="7"/>
  <c r="O291" i="7" s="1"/>
  <c r="AB291" i="7" s="1"/>
  <c r="N287" i="7"/>
  <c r="N291" i="7" s="1"/>
  <c r="AA291" i="7" s="1"/>
  <c r="M287" i="7"/>
  <c r="M291" i="7" s="1"/>
  <c r="Z291" i="7" s="1"/>
  <c r="AE286" i="7"/>
  <c r="AD286" i="7"/>
  <c r="AC286" i="7"/>
  <c r="AB286" i="7"/>
  <c r="AA286" i="7"/>
  <c r="Z286" i="7"/>
  <c r="AA285" i="7"/>
  <c r="Z285" i="7"/>
  <c r="AE284" i="7"/>
  <c r="AA284" i="7"/>
  <c r="Z284" i="7"/>
  <c r="AE283" i="7"/>
  <c r="AA283" i="7"/>
  <c r="Z283" i="7"/>
  <c r="AE282" i="7"/>
  <c r="AA282" i="7"/>
  <c r="Z282" i="7"/>
  <c r="AA281" i="7"/>
  <c r="Z281" i="7"/>
  <c r="R281" i="7"/>
  <c r="R285" i="7" s="1"/>
  <c r="AE285" i="7" s="1"/>
  <c r="AE280" i="7"/>
  <c r="AA280" i="7"/>
  <c r="Z280" i="7"/>
  <c r="AE278" i="7"/>
  <c r="AD278" i="7"/>
  <c r="AC278" i="7"/>
  <c r="AB278" i="7"/>
  <c r="AA278" i="7"/>
  <c r="Z278" i="7"/>
  <c r="AE277" i="7"/>
  <c r="AD277" i="7"/>
  <c r="AC277" i="7"/>
  <c r="AB277" i="7"/>
  <c r="AA277" i="7"/>
  <c r="Z277" i="7"/>
  <c r="AE276" i="7"/>
  <c r="AD276" i="7"/>
  <c r="AC276" i="7"/>
  <c r="AB276" i="7"/>
  <c r="AA276" i="7"/>
  <c r="Z276" i="7"/>
  <c r="R275" i="7"/>
  <c r="R279" i="7" s="1"/>
  <c r="AE279" i="7" s="1"/>
  <c r="Q275" i="7"/>
  <c r="Q279" i="7" s="1"/>
  <c r="AD279" i="7" s="1"/>
  <c r="P275" i="7"/>
  <c r="O275" i="7"/>
  <c r="O279" i="7" s="1"/>
  <c r="AB279" i="7" s="1"/>
  <c r="N275" i="7"/>
  <c r="N279" i="7" s="1"/>
  <c r="AA279" i="7" s="1"/>
  <c r="M275" i="7"/>
  <c r="Z275" i="7" s="1"/>
  <c r="AE274" i="7"/>
  <c r="AD274" i="7"/>
  <c r="AC274" i="7"/>
  <c r="AB274" i="7"/>
  <c r="AA274" i="7"/>
  <c r="Z274" i="7"/>
  <c r="AE272" i="7"/>
  <c r="AD272" i="7"/>
  <c r="AC272" i="7"/>
  <c r="AB272" i="7"/>
  <c r="AA272" i="7"/>
  <c r="Z272" i="7"/>
  <c r="AE271" i="7"/>
  <c r="AD271" i="7"/>
  <c r="AC271" i="7"/>
  <c r="AB271" i="7"/>
  <c r="AA271" i="7"/>
  <c r="Z271" i="7"/>
  <c r="AE270" i="7"/>
  <c r="AD270" i="7"/>
  <c r="AC270" i="7"/>
  <c r="AB270" i="7"/>
  <c r="AA270" i="7"/>
  <c r="Z270" i="7"/>
  <c r="R269" i="7"/>
  <c r="AE269" i="7" s="1"/>
  <c r="Q269" i="7"/>
  <c r="Q273" i="7" s="1"/>
  <c r="AD273" i="7" s="1"/>
  <c r="P269" i="7"/>
  <c r="O269" i="7"/>
  <c r="O273" i="7" s="1"/>
  <c r="AB273" i="7" s="1"/>
  <c r="N269" i="7"/>
  <c r="N273" i="7" s="1"/>
  <c r="AA273" i="7" s="1"/>
  <c r="M269" i="7"/>
  <c r="M273" i="7" s="1"/>
  <c r="Z273" i="7" s="1"/>
  <c r="AE268" i="7"/>
  <c r="AD268" i="7"/>
  <c r="AC268" i="7"/>
  <c r="AB268" i="7"/>
  <c r="AA268" i="7"/>
  <c r="Z268" i="7"/>
  <c r="AE266" i="7"/>
  <c r="AD266" i="7"/>
  <c r="AC266" i="7"/>
  <c r="AB266" i="7"/>
  <c r="AA266" i="7"/>
  <c r="Z266" i="7"/>
  <c r="AE265" i="7"/>
  <c r="AD265" i="7"/>
  <c r="AC265" i="7"/>
  <c r="AB265" i="7"/>
  <c r="AA265" i="7"/>
  <c r="Z265" i="7"/>
  <c r="AE264" i="7"/>
  <c r="AD264" i="7"/>
  <c r="AC264" i="7"/>
  <c r="AB264" i="7"/>
  <c r="AA264" i="7"/>
  <c r="Z264" i="7"/>
  <c r="R263" i="7"/>
  <c r="AE263" i="7" s="1"/>
  <c r="Q263" i="7"/>
  <c r="P263" i="7"/>
  <c r="AC263" i="7" s="1"/>
  <c r="O263" i="7"/>
  <c r="O267" i="7" s="1"/>
  <c r="AB267" i="7" s="1"/>
  <c r="N263" i="7"/>
  <c r="M263" i="7"/>
  <c r="M267" i="7" s="1"/>
  <c r="Z267" i="7" s="1"/>
  <c r="AE262" i="7"/>
  <c r="AD262" i="7"/>
  <c r="AC262" i="7"/>
  <c r="AB262" i="7"/>
  <c r="AA262" i="7"/>
  <c r="Z262" i="7"/>
  <c r="AA261" i="7"/>
  <c r="M261" i="7"/>
  <c r="Z261" i="7" s="1"/>
  <c r="AE260" i="7"/>
  <c r="AD260" i="7"/>
  <c r="AC260" i="7"/>
  <c r="AB260" i="7"/>
  <c r="AA260" i="7"/>
  <c r="Z260" i="7"/>
  <c r="AE259" i="7"/>
  <c r="AD259" i="7"/>
  <c r="AC259" i="7"/>
  <c r="AB259" i="7"/>
  <c r="AA259" i="7"/>
  <c r="Z259" i="7"/>
  <c r="AE258" i="7"/>
  <c r="AD258" i="7"/>
  <c r="AC258" i="7"/>
  <c r="AB258" i="7"/>
  <c r="AA258" i="7"/>
  <c r="Z258" i="7"/>
  <c r="AA257" i="7"/>
  <c r="Z257" i="7"/>
  <c r="R257" i="7"/>
  <c r="R261" i="7" s="1"/>
  <c r="Q257" i="7"/>
  <c r="AD257" i="7" s="1"/>
  <c r="P257" i="7"/>
  <c r="P261" i="7" s="1"/>
  <c r="O257" i="7"/>
  <c r="O261" i="7" s="1"/>
  <c r="AE256" i="7"/>
  <c r="AD256" i="7"/>
  <c r="AC256" i="7"/>
  <c r="AB256" i="7"/>
  <c r="AA256" i="7"/>
  <c r="Z256" i="7"/>
  <c r="AE255" i="7"/>
  <c r="AD255" i="7"/>
  <c r="AC255" i="7"/>
  <c r="AB255" i="7"/>
  <c r="AA255" i="7"/>
  <c r="Z255" i="7"/>
  <c r="R255" i="7"/>
  <c r="Q255" i="7"/>
  <c r="P255" i="7"/>
  <c r="O255" i="7"/>
  <c r="N255" i="7"/>
  <c r="M255" i="7"/>
  <c r="R248" i="7"/>
  <c r="Q248" i="7"/>
  <c r="P248" i="7"/>
  <c r="O248" i="7"/>
  <c r="N248" i="7"/>
  <c r="M248" i="7"/>
  <c r="R247" i="7"/>
  <c r="Q247" i="7"/>
  <c r="P247" i="7"/>
  <c r="O247" i="7"/>
  <c r="N247" i="7"/>
  <c r="M247" i="7"/>
  <c r="R246" i="7"/>
  <c r="Q246" i="7"/>
  <c r="P246" i="7"/>
  <c r="O246" i="7"/>
  <c r="N246" i="7"/>
  <c r="M246" i="7"/>
  <c r="R244" i="7"/>
  <c r="Q244" i="7"/>
  <c r="P244" i="7"/>
  <c r="O244" i="7"/>
  <c r="N244" i="7"/>
  <c r="M244" i="7"/>
  <c r="O243" i="7"/>
  <c r="R239" i="7"/>
  <c r="Q239" i="7"/>
  <c r="Q243" i="7" s="1"/>
  <c r="P239" i="7"/>
  <c r="P243" i="7" s="1"/>
  <c r="O239" i="7"/>
  <c r="N239" i="7"/>
  <c r="N243" i="7" s="1"/>
  <c r="M239" i="7"/>
  <c r="M243" i="7" s="1"/>
  <c r="AE236" i="7"/>
  <c r="AD236" i="7"/>
  <c r="AC236" i="7"/>
  <c r="AB236" i="7"/>
  <c r="AA236" i="7"/>
  <c r="Z236" i="7"/>
  <c r="AE235" i="7"/>
  <c r="AD235" i="7"/>
  <c r="AC235" i="7"/>
  <c r="AB235" i="7"/>
  <c r="AA235" i="7"/>
  <c r="Z235" i="7"/>
  <c r="AE234" i="7"/>
  <c r="AD234" i="7"/>
  <c r="AC234" i="7"/>
  <c r="AB234" i="7"/>
  <c r="AA234" i="7"/>
  <c r="Z234" i="7"/>
  <c r="R233" i="7"/>
  <c r="R237" i="7" s="1"/>
  <c r="AE237" i="7" s="1"/>
  <c r="Q233" i="7"/>
  <c r="Q237" i="7" s="1"/>
  <c r="AD237" i="7" s="1"/>
  <c r="P233" i="7"/>
  <c r="P237" i="7" s="1"/>
  <c r="AC237" i="7" s="1"/>
  <c r="O233" i="7"/>
  <c r="AB233" i="7" s="1"/>
  <c r="N233" i="7"/>
  <c r="N237" i="7" s="1"/>
  <c r="AA237" i="7" s="1"/>
  <c r="M233" i="7"/>
  <c r="M237" i="7" s="1"/>
  <c r="Z237" i="7" s="1"/>
  <c r="AE232" i="7"/>
  <c r="AD232" i="7"/>
  <c r="AC232" i="7"/>
  <c r="AB232" i="7"/>
  <c r="AA232" i="7"/>
  <c r="Z232" i="7"/>
  <c r="AE230" i="7"/>
  <c r="AD230" i="7"/>
  <c r="AC230" i="7"/>
  <c r="AB230" i="7"/>
  <c r="AA230" i="7"/>
  <c r="Z230" i="7"/>
  <c r="AE229" i="7"/>
  <c r="AD229" i="7"/>
  <c r="AC229" i="7"/>
  <c r="AB229" i="7"/>
  <c r="AA229" i="7"/>
  <c r="Z229" i="7"/>
  <c r="AE228" i="7"/>
  <c r="AD228" i="7"/>
  <c r="AC228" i="7"/>
  <c r="AB228" i="7"/>
  <c r="AA228" i="7"/>
  <c r="Z228" i="7"/>
  <c r="R227" i="7"/>
  <c r="R231" i="7" s="1"/>
  <c r="AE231" i="7" s="1"/>
  <c r="Q227" i="7"/>
  <c r="Q231" i="7" s="1"/>
  <c r="AD231" i="7" s="1"/>
  <c r="P227" i="7"/>
  <c r="P231" i="7" s="1"/>
  <c r="AC231" i="7" s="1"/>
  <c r="O227" i="7"/>
  <c r="AB227" i="7" s="1"/>
  <c r="N227" i="7"/>
  <c r="N231" i="7" s="1"/>
  <c r="AA231" i="7" s="1"/>
  <c r="M227" i="7"/>
  <c r="M231" i="7" s="1"/>
  <c r="Z231" i="7" s="1"/>
  <c r="AE226" i="7"/>
  <c r="AD226" i="7"/>
  <c r="AC226" i="7"/>
  <c r="AB226" i="7"/>
  <c r="AA226" i="7"/>
  <c r="Z226" i="7"/>
  <c r="AE224" i="7"/>
  <c r="AD224" i="7"/>
  <c r="AC224" i="7"/>
  <c r="AB224" i="7"/>
  <c r="AA224" i="7"/>
  <c r="Z224" i="7"/>
  <c r="AE223" i="7"/>
  <c r="AD223" i="7"/>
  <c r="AC223" i="7"/>
  <c r="AB223" i="7"/>
  <c r="AA223" i="7"/>
  <c r="Z223" i="7"/>
  <c r="AE222" i="7"/>
  <c r="AD222" i="7"/>
  <c r="AC222" i="7"/>
  <c r="AB222" i="7"/>
  <c r="AA222" i="7"/>
  <c r="Z222" i="7"/>
  <c r="R221" i="7"/>
  <c r="R225" i="7" s="1"/>
  <c r="AE225" i="7" s="1"/>
  <c r="Q221" i="7"/>
  <c r="Q225" i="7" s="1"/>
  <c r="AD225" i="7" s="1"/>
  <c r="P221" i="7"/>
  <c r="P225" i="7" s="1"/>
  <c r="AC225" i="7" s="1"/>
  <c r="O221" i="7"/>
  <c r="AB221" i="7" s="1"/>
  <c r="N221" i="7"/>
  <c r="N225" i="7" s="1"/>
  <c r="AA225" i="7" s="1"/>
  <c r="M221" i="7"/>
  <c r="M225" i="7" s="1"/>
  <c r="Z225" i="7" s="1"/>
  <c r="AE220" i="7"/>
  <c r="AD220" i="7"/>
  <c r="AC220" i="7"/>
  <c r="AB220" i="7"/>
  <c r="AA220" i="7"/>
  <c r="Z220" i="7"/>
  <c r="AE218" i="7"/>
  <c r="AD218" i="7"/>
  <c r="AC218" i="7"/>
  <c r="AB218" i="7"/>
  <c r="AA218" i="7"/>
  <c r="Z218" i="7"/>
  <c r="AE217" i="7"/>
  <c r="AD217" i="7"/>
  <c r="AC217" i="7"/>
  <c r="AB217" i="7"/>
  <c r="AA217" i="7"/>
  <c r="Z217" i="7"/>
  <c r="AE216" i="7"/>
  <c r="AD216" i="7"/>
  <c r="AC216" i="7"/>
  <c r="AB216" i="7"/>
  <c r="AA216" i="7"/>
  <c r="Z216" i="7"/>
  <c r="R215" i="7"/>
  <c r="R219" i="7" s="1"/>
  <c r="AE219" i="7" s="1"/>
  <c r="Q215" i="7"/>
  <c r="Q219" i="7" s="1"/>
  <c r="AD219" i="7" s="1"/>
  <c r="P215" i="7"/>
  <c r="P219" i="7" s="1"/>
  <c r="AC219" i="7" s="1"/>
  <c r="O215" i="7"/>
  <c r="AB215" i="7" s="1"/>
  <c r="N215" i="7"/>
  <c r="N219" i="7" s="1"/>
  <c r="AA219" i="7" s="1"/>
  <c r="M215" i="7"/>
  <c r="M219" i="7" s="1"/>
  <c r="Z219" i="7" s="1"/>
  <c r="AE214" i="7"/>
  <c r="AD214" i="7"/>
  <c r="AC214" i="7"/>
  <c r="AB214" i="7"/>
  <c r="AA214" i="7"/>
  <c r="Z214" i="7"/>
  <c r="AE212" i="7"/>
  <c r="AD212" i="7"/>
  <c r="AC212" i="7"/>
  <c r="AB212" i="7"/>
  <c r="AA212" i="7"/>
  <c r="Z212" i="7"/>
  <c r="AE211" i="7"/>
  <c r="AD211" i="7"/>
  <c r="AC211" i="7"/>
  <c r="AB211" i="7"/>
  <c r="AA211" i="7"/>
  <c r="Z211" i="7"/>
  <c r="AE210" i="7"/>
  <c r="AD210" i="7"/>
  <c r="AC210" i="7"/>
  <c r="AB210" i="7"/>
  <c r="AA210" i="7"/>
  <c r="Z210" i="7"/>
  <c r="R209" i="7"/>
  <c r="R213" i="7" s="1"/>
  <c r="AE213" i="7" s="1"/>
  <c r="Q209" i="7"/>
  <c r="Q213" i="7" s="1"/>
  <c r="AD213" i="7" s="1"/>
  <c r="P209" i="7"/>
  <c r="P213" i="7" s="1"/>
  <c r="AC213" i="7" s="1"/>
  <c r="O209" i="7"/>
  <c r="AB209" i="7" s="1"/>
  <c r="N209" i="7"/>
  <c r="N213" i="7" s="1"/>
  <c r="AA213" i="7" s="1"/>
  <c r="M209" i="7"/>
  <c r="M213" i="7" s="1"/>
  <c r="Z213" i="7" s="1"/>
  <c r="AE208" i="7"/>
  <c r="AD208" i="7"/>
  <c r="AC208" i="7"/>
  <c r="AB208" i="7"/>
  <c r="AA208" i="7"/>
  <c r="Z208" i="7"/>
  <c r="AE206" i="7"/>
  <c r="AD206" i="7"/>
  <c r="AC206" i="7"/>
  <c r="AB206" i="7"/>
  <c r="AA206" i="7"/>
  <c r="Z206" i="7"/>
  <c r="AE205" i="7"/>
  <c r="AD205" i="7"/>
  <c r="AC205" i="7"/>
  <c r="AB205" i="7"/>
  <c r="AA205" i="7"/>
  <c r="Z205" i="7"/>
  <c r="AE204" i="7"/>
  <c r="AD204" i="7"/>
  <c r="AC204" i="7"/>
  <c r="AB204" i="7"/>
  <c r="AA204" i="7"/>
  <c r="Z204" i="7"/>
  <c r="AB203" i="7"/>
  <c r="R203" i="7"/>
  <c r="R207" i="7" s="1"/>
  <c r="AE207" i="7" s="1"/>
  <c r="Q203" i="7"/>
  <c r="Q207" i="7" s="1"/>
  <c r="AD207" i="7" s="1"/>
  <c r="P203" i="7"/>
  <c r="P207" i="7" s="1"/>
  <c r="AC207" i="7" s="1"/>
  <c r="O203" i="7"/>
  <c r="O207" i="7" s="1"/>
  <c r="AB207" i="7" s="1"/>
  <c r="N203" i="7"/>
  <c r="N207" i="7" s="1"/>
  <c r="AA207" i="7" s="1"/>
  <c r="M203" i="7"/>
  <c r="M207" i="7" s="1"/>
  <c r="Z207" i="7" s="1"/>
  <c r="AE202" i="7"/>
  <c r="AD202" i="7"/>
  <c r="AC202" i="7"/>
  <c r="AB202" i="7"/>
  <c r="AA202" i="7"/>
  <c r="Z202" i="7"/>
  <c r="AE200" i="7"/>
  <c r="AD200" i="7"/>
  <c r="AC200" i="7"/>
  <c r="AB200" i="7"/>
  <c r="AA200" i="7"/>
  <c r="Z200" i="7"/>
  <c r="AE199" i="7"/>
  <c r="AD199" i="7"/>
  <c r="AC199" i="7"/>
  <c r="AB199" i="7"/>
  <c r="AA199" i="7"/>
  <c r="Z199" i="7"/>
  <c r="AE198" i="7"/>
  <c r="AD198" i="7"/>
  <c r="AC198" i="7"/>
  <c r="AB198" i="7"/>
  <c r="AA198" i="7"/>
  <c r="Z198" i="7"/>
  <c r="R197" i="7"/>
  <c r="R201" i="7" s="1"/>
  <c r="AE201" i="7" s="1"/>
  <c r="Q197" i="7"/>
  <c r="Q201" i="7" s="1"/>
  <c r="AD201" i="7" s="1"/>
  <c r="P197" i="7"/>
  <c r="P201" i="7" s="1"/>
  <c r="AC201" i="7" s="1"/>
  <c r="O197" i="7"/>
  <c r="O201" i="7" s="1"/>
  <c r="AB201" i="7" s="1"/>
  <c r="N197" i="7"/>
  <c r="N201" i="7" s="1"/>
  <c r="AA201" i="7" s="1"/>
  <c r="M197" i="7"/>
  <c r="M201" i="7" s="1"/>
  <c r="Z201" i="7" s="1"/>
  <c r="AE196" i="7"/>
  <c r="AD196" i="7"/>
  <c r="AC196" i="7"/>
  <c r="AB196" i="7"/>
  <c r="AA196" i="7"/>
  <c r="Z196" i="7"/>
  <c r="AE194" i="7"/>
  <c r="AD194" i="7"/>
  <c r="AC194" i="7"/>
  <c r="AB194" i="7"/>
  <c r="AA194" i="7"/>
  <c r="Z194" i="7"/>
  <c r="AE193" i="7"/>
  <c r="AD193" i="7"/>
  <c r="AC193" i="7"/>
  <c r="AB193" i="7"/>
  <c r="AA193" i="7"/>
  <c r="Z193" i="7"/>
  <c r="AE192" i="7"/>
  <c r="AD192" i="7"/>
  <c r="AC192" i="7"/>
  <c r="AB192" i="7"/>
  <c r="AA192" i="7"/>
  <c r="Z192" i="7"/>
  <c r="R191" i="7"/>
  <c r="R195" i="7" s="1"/>
  <c r="AE195" i="7" s="1"/>
  <c r="Q191" i="7"/>
  <c r="Q195" i="7" s="1"/>
  <c r="AD195" i="7" s="1"/>
  <c r="P191" i="7"/>
  <c r="P195" i="7" s="1"/>
  <c r="AC195" i="7" s="1"/>
  <c r="O191" i="7"/>
  <c r="O195" i="7" s="1"/>
  <c r="AB195" i="7" s="1"/>
  <c r="N191" i="7"/>
  <c r="N195" i="7" s="1"/>
  <c r="AA195" i="7" s="1"/>
  <c r="M191" i="7"/>
  <c r="M195" i="7" s="1"/>
  <c r="Z195" i="7" s="1"/>
  <c r="AE190" i="7"/>
  <c r="AD190" i="7"/>
  <c r="AC190" i="7"/>
  <c r="AB190" i="7"/>
  <c r="AA190" i="7"/>
  <c r="Z190" i="7"/>
  <c r="AE188" i="7"/>
  <c r="AD188" i="7"/>
  <c r="AC188" i="7"/>
  <c r="AB188" i="7"/>
  <c r="AA188" i="7"/>
  <c r="Z188" i="7"/>
  <c r="AE187" i="7"/>
  <c r="AD187" i="7"/>
  <c r="AC187" i="7"/>
  <c r="AB187" i="7"/>
  <c r="AA187" i="7"/>
  <c r="Z187" i="7"/>
  <c r="AE186" i="7"/>
  <c r="AD186" i="7"/>
  <c r="AC186" i="7"/>
  <c r="AB186" i="7"/>
  <c r="AA186" i="7"/>
  <c r="Z186" i="7"/>
  <c r="R185" i="7"/>
  <c r="R189" i="7" s="1"/>
  <c r="AE189" i="7" s="1"/>
  <c r="Q185" i="7"/>
  <c r="Q189" i="7" s="1"/>
  <c r="AD189" i="7" s="1"/>
  <c r="P185" i="7"/>
  <c r="P189" i="7" s="1"/>
  <c r="AC189" i="7" s="1"/>
  <c r="O185" i="7"/>
  <c r="N185" i="7"/>
  <c r="N189" i="7" s="1"/>
  <c r="AA189" i="7" s="1"/>
  <c r="M185" i="7"/>
  <c r="M189" i="7" s="1"/>
  <c r="Z189" i="7" s="1"/>
  <c r="AE184" i="7"/>
  <c r="AD184" i="7"/>
  <c r="AC184" i="7"/>
  <c r="AB184" i="7"/>
  <c r="AA184" i="7"/>
  <c r="Z184" i="7"/>
  <c r="AE182" i="7"/>
  <c r="AD182" i="7"/>
  <c r="AC182" i="7"/>
  <c r="AB182" i="7"/>
  <c r="AA182" i="7"/>
  <c r="Z182" i="7"/>
  <c r="AE181" i="7"/>
  <c r="AD181" i="7"/>
  <c r="AC181" i="7"/>
  <c r="AB181" i="7"/>
  <c r="AA181" i="7"/>
  <c r="Z181" i="7"/>
  <c r="AE180" i="7"/>
  <c r="AD180" i="7"/>
  <c r="AC180" i="7"/>
  <c r="AB180" i="7"/>
  <c r="AA180" i="7"/>
  <c r="Z180" i="7"/>
  <c r="R179" i="7"/>
  <c r="R183" i="7" s="1"/>
  <c r="AE183" i="7" s="1"/>
  <c r="Q179" i="7"/>
  <c r="Q183" i="7" s="1"/>
  <c r="AD183" i="7" s="1"/>
  <c r="P179" i="7"/>
  <c r="P183" i="7" s="1"/>
  <c r="AC183" i="7" s="1"/>
  <c r="O179" i="7"/>
  <c r="AB179" i="7" s="1"/>
  <c r="N179" i="7"/>
  <c r="N183" i="7" s="1"/>
  <c r="AA183" i="7" s="1"/>
  <c r="M179" i="7"/>
  <c r="M183" i="7" s="1"/>
  <c r="Z183" i="7" s="1"/>
  <c r="AE178" i="7"/>
  <c r="AD178" i="7"/>
  <c r="AC178" i="7"/>
  <c r="AB178" i="7"/>
  <c r="AA178" i="7"/>
  <c r="Z178" i="7"/>
  <c r="AE176" i="7"/>
  <c r="AD176" i="7"/>
  <c r="AC176" i="7"/>
  <c r="AB176" i="7"/>
  <c r="AA176" i="7"/>
  <c r="Z176" i="7"/>
  <c r="AE175" i="7"/>
  <c r="AD175" i="7"/>
  <c r="AC175" i="7"/>
  <c r="AB175" i="7"/>
  <c r="AA175" i="7"/>
  <c r="Z175" i="7"/>
  <c r="AE174" i="7"/>
  <c r="AD174" i="7"/>
  <c r="AC174" i="7"/>
  <c r="AB174" i="7"/>
  <c r="AA174" i="7"/>
  <c r="Z174" i="7"/>
  <c r="R173" i="7"/>
  <c r="R177" i="7" s="1"/>
  <c r="AE177" i="7" s="1"/>
  <c r="Q173" i="7"/>
  <c r="Q177" i="7" s="1"/>
  <c r="AD177" i="7" s="1"/>
  <c r="P173" i="7"/>
  <c r="P177" i="7" s="1"/>
  <c r="AC177" i="7" s="1"/>
  <c r="O173" i="7"/>
  <c r="O177" i="7" s="1"/>
  <c r="AB177" i="7" s="1"/>
  <c r="N173" i="7"/>
  <c r="N177" i="7" s="1"/>
  <c r="AA177" i="7" s="1"/>
  <c r="M173" i="7"/>
  <c r="M177" i="7" s="1"/>
  <c r="Z177" i="7" s="1"/>
  <c r="AE172" i="7"/>
  <c r="AD172" i="7"/>
  <c r="AC172" i="7"/>
  <c r="AB172" i="7"/>
  <c r="AA172" i="7"/>
  <c r="Z172" i="7"/>
  <c r="AE170" i="7"/>
  <c r="AD170" i="7"/>
  <c r="AC170" i="7"/>
  <c r="AB170" i="7"/>
  <c r="AA170" i="7"/>
  <c r="Z170" i="7"/>
  <c r="AE169" i="7"/>
  <c r="AD169" i="7"/>
  <c r="AC169" i="7"/>
  <c r="AB169" i="7"/>
  <c r="AA169" i="7"/>
  <c r="Z169" i="7"/>
  <c r="AE168" i="7"/>
  <c r="AD168" i="7"/>
  <c r="AC168" i="7"/>
  <c r="AB168" i="7"/>
  <c r="AA168" i="7"/>
  <c r="Z168" i="7"/>
  <c r="R167" i="7"/>
  <c r="R171" i="7" s="1"/>
  <c r="AE171" i="7" s="1"/>
  <c r="Q167" i="7"/>
  <c r="Q171" i="7" s="1"/>
  <c r="AD171" i="7" s="1"/>
  <c r="P167" i="7"/>
  <c r="P171" i="7" s="1"/>
  <c r="AC171" i="7" s="1"/>
  <c r="O167" i="7"/>
  <c r="O171" i="7" s="1"/>
  <c r="AB171" i="7" s="1"/>
  <c r="N167" i="7"/>
  <c r="N171" i="7" s="1"/>
  <c r="AA171" i="7" s="1"/>
  <c r="M167" i="7"/>
  <c r="M171" i="7" s="1"/>
  <c r="Z171" i="7" s="1"/>
  <c r="AE166" i="7"/>
  <c r="AD166" i="7"/>
  <c r="AC166" i="7"/>
  <c r="AB166" i="7"/>
  <c r="AA166" i="7"/>
  <c r="Z166" i="7"/>
  <c r="AE164" i="7"/>
  <c r="AD164" i="7"/>
  <c r="AC164" i="7"/>
  <c r="AB164" i="7"/>
  <c r="AA164" i="7"/>
  <c r="Z164" i="7"/>
  <c r="AE163" i="7"/>
  <c r="AD163" i="7"/>
  <c r="AC163" i="7"/>
  <c r="AB163" i="7"/>
  <c r="AA163" i="7"/>
  <c r="Z163" i="7"/>
  <c r="AE162" i="7"/>
  <c r="AD162" i="7"/>
  <c r="AC162" i="7"/>
  <c r="AB162" i="7"/>
  <c r="AA162" i="7"/>
  <c r="Z162" i="7"/>
  <c r="R161" i="7"/>
  <c r="R165" i="7" s="1"/>
  <c r="AE165" i="7" s="1"/>
  <c r="Q161" i="7"/>
  <c r="Q165" i="7" s="1"/>
  <c r="AD165" i="7" s="1"/>
  <c r="P161" i="7"/>
  <c r="P165" i="7" s="1"/>
  <c r="AC165" i="7" s="1"/>
  <c r="O161" i="7"/>
  <c r="AB161" i="7" s="1"/>
  <c r="N161" i="7"/>
  <c r="N165" i="7" s="1"/>
  <c r="AA165" i="7" s="1"/>
  <c r="M161" i="7"/>
  <c r="M165" i="7" s="1"/>
  <c r="Z165" i="7" s="1"/>
  <c r="AE160" i="7"/>
  <c r="AD160" i="7"/>
  <c r="AC160" i="7"/>
  <c r="AB160" i="7"/>
  <c r="AA160" i="7"/>
  <c r="Z160" i="7"/>
  <c r="AE158" i="7"/>
  <c r="AD158" i="7"/>
  <c r="AC158" i="7"/>
  <c r="AB158" i="7"/>
  <c r="AA158" i="7"/>
  <c r="Z158" i="7"/>
  <c r="AE157" i="7"/>
  <c r="AD157" i="7"/>
  <c r="AC157" i="7"/>
  <c r="AB157" i="7"/>
  <c r="AA157" i="7"/>
  <c r="Z157" i="7"/>
  <c r="AE156" i="7"/>
  <c r="AD156" i="7"/>
  <c r="AC156" i="7"/>
  <c r="AB156" i="7"/>
  <c r="AA156" i="7"/>
  <c r="Z156" i="7"/>
  <c r="R155" i="7"/>
  <c r="R159" i="7" s="1"/>
  <c r="AE159" i="7" s="1"/>
  <c r="Q155" i="7"/>
  <c r="Q159" i="7" s="1"/>
  <c r="AD159" i="7" s="1"/>
  <c r="P155" i="7"/>
  <c r="P159" i="7" s="1"/>
  <c r="AC159" i="7" s="1"/>
  <c r="O155" i="7"/>
  <c r="AB155" i="7" s="1"/>
  <c r="N155" i="7"/>
  <c r="N159" i="7" s="1"/>
  <c r="AA159" i="7" s="1"/>
  <c r="M155" i="7"/>
  <c r="M159" i="7" s="1"/>
  <c r="Z159" i="7" s="1"/>
  <c r="AE154" i="7"/>
  <c r="AD154" i="7"/>
  <c r="AC154" i="7"/>
  <c r="AB154" i="7"/>
  <c r="AA154" i="7"/>
  <c r="Z154" i="7"/>
  <c r="AE152" i="7"/>
  <c r="AD152" i="7"/>
  <c r="AC152" i="7"/>
  <c r="AB152" i="7"/>
  <c r="AA152" i="7"/>
  <c r="Z152" i="7"/>
  <c r="AE151" i="7"/>
  <c r="AD151" i="7"/>
  <c r="AC151" i="7"/>
  <c r="AB151" i="7"/>
  <c r="AA151" i="7"/>
  <c r="Z151" i="7"/>
  <c r="AE150" i="7"/>
  <c r="AD150" i="7"/>
  <c r="AC150" i="7"/>
  <c r="AB150" i="7"/>
  <c r="AA150" i="7"/>
  <c r="Z150" i="7"/>
  <c r="R149" i="7"/>
  <c r="Q149" i="7"/>
  <c r="P149" i="7"/>
  <c r="O149" i="7"/>
  <c r="O153" i="7" s="1"/>
  <c r="N149" i="7"/>
  <c r="N153" i="7" s="1"/>
  <c r="M149" i="7"/>
  <c r="M153" i="7" s="1"/>
  <c r="AE148" i="7"/>
  <c r="AD148" i="7"/>
  <c r="AC148" i="7"/>
  <c r="AB148" i="7"/>
  <c r="AA148" i="7"/>
  <c r="Z148" i="7"/>
  <c r="AE147" i="7"/>
  <c r="AD147" i="7"/>
  <c r="AC147" i="7"/>
  <c r="AB147" i="7"/>
  <c r="AA147" i="7"/>
  <c r="Z147" i="7"/>
  <c r="R147" i="7"/>
  <c r="Q147" i="7"/>
  <c r="P147" i="7"/>
  <c r="O147" i="7"/>
  <c r="N147" i="7"/>
  <c r="M147" i="7"/>
  <c r="R140" i="7"/>
  <c r="Q140" i="7"/>
  <c r="P140" i="7"/>
  <c r="O140" i="7"/>
  <c r="N140" i="7"/>
  <c r="M140" i="7"/>
  <c r="R138" i="7"/>
  <c r="Q138" i="7"/>
  <c r="P138" i="7"/>
  <c r="O138" i="7"/>
  <c r="N138" i="7"/>
  <c r="M138" i="7"/>
  <c r="P136" i="7"/>
  <c r="O136" i="7"/>
  <c r="N136" i="7"/>
  <c r="M136" i="7"/>
  <c r="L136" i="7"/>
  <c r="M135" i="7"/>
  <c r="R133" i="7"/>
  <c r="R135" i="7" s="1"/>
  <c r="Q133" i="7"/>
  <c r="P133" i="7"/>
  <c r="R131" i="7"/>
  <c r="Q131" i="7"/>
  <c r="P131" i="7"/>
  <c r="O131" i="7"/>
  <c r="O135" i="7" s="1"/>
  <c r="N131" i="7"/>
  <c r="N135" i="7" s="1"/>
  <c r="AE128" i="7"/>
  <c r="AD128" i="7"/>
  <c r="AC128" i="7"/>
  <c r="AB128" i="7"/>
  <c r="AA128" i="7"/>
  <c r="Z128" i="7"/>
  <c r="AE127" i="7"/>
  <c r="AD127" i="7"/>
  <c r="AC127" i="7"/>
  <c r="AB127" i="7"/>
  <c r="AA127" i="7"/>
  <c r="Z127" i="7"/>
  <c r="AE126" i="7"/>
  <c r="AD126" i="7"/>
  <c r="AC126" i="7"/>
  <c r="AB126" i="7"/>
  <c r="AA126" i="7"/>
  <c r="Z126" i="7"/>
  <c r="AC125" i="7"/>
  <c r="R125" i="7"/>
  <c r="R129" i="7" s="1"/>
  <c r="AE129" i="7" s="1"/>
  <c r="Q125" i="7"/>
  <c r="Q129" i="7" s="1"/>
  <c r="AD129" i="7" s="1"/>
  <c r="P125" i="7"/>
  <c r="P129" i="7" s="1"/>
  <c r="AC129" i="7" s="1"/>
  <c r="O125" i="7"/>
  <c r="N125" i="7"/>
  <c r="N129" i="7" s="1"/>
  <c r="AA129" i="7" s="1"/>
  <c r="M125" i="7"/>
  <c r="M129" i="7" s="1"/>
  <c r="Z129" i="7" s="1"/>
  <c r="AE124" i="7"/>
  <c r="AD124" i="7"/>
  <c r="AC124" i="7"/>
  <c r="AB124" i="7"/>
  <c r="AA124" i="7"/>
  <c r="Z124" i="7"/>
  <c r="AE122" i="7"/>
  <c r="AD122" i="7"/>
  <c r="AC122" i="7"/>
  <c r="AB122" i="7"/>
  <c r="AA122" i="7"/>
  <c r="Z122" i="7"/>
  <c r="AE121" i="7"/>
  <c r="AD121" i="7"/>
  <c r="AC121" i="7"/>
  <c r="AB121" i="7"/>
  <c r="AA121" i="7"/>
  <c r="Z121" i="7"/>
  <c r="AE120" i="7"/>
  <c r="AD120" i="7"/>
  <c r="AC120" i="7"/>
  <c r="AB120" i="7"/>
  <c r="AA120" i="7"/>
  <c r="Z120" i="7"/>
  <c r="R119" i="7"/>
  <c r="AE119" i="7" s="1"/>
  <c r="Q119" i="7"/>
  <c r="Q123" i="7" s="1"/>
  <c r="AD123" i="7" s="1"/>
  <c r="P119" i="7"/>
  <c r="AC119" i="7" s="1"/>
  <c r="O119" i="7"/>
  <c r="AB119" i="7" s="1"/>
  <c r="N119" i="7"/>
  <c r="AA119" i="7" s="1"/>
  <c r="M119" i="7"/>
  <c r="Z119" i="7" s="1"/>
  <c r="AE118" i="7"/>
  <c r="AD118" i="7"/>
  <c r="AC118" i="7"/>
  <c r="AB118" i="7"/>
  <c r="AA118" i="7"/>
  <c r="Z118" i="7"/>
  <c r="AE116" i="7"/>
  <c r="AD116" i="7"/>
  <c r="AC116" i="7"/>
  <c r="AB116" i="7"/>
  <c r="AA116" i="7"/>
  <c r="Z116" i="7"/>
  <c r="AE115" i="7"/>
  <c r="AD115" i="7"/>
  <c r="AC115" i="7"/>
  <c r="AB115" i="7"/>
  <c r="AA115" i="7"/>
  <c r="Z115" i="7"/>
  <c r="AE114" i="7"/>
  <c r="AD114" i="7"/>
  <c r="AC114" i="7"/>
  <c r="AB114" i="7"/>
  <c r="AA114" i="7"/>
  <c r="Z114" i="7"/>
  <c r="R113" i="7"/>
  <c r="R117" i="7" s="1"/>
  <c r="AE117" i="7" s="1"/>
  <c r="Q113" i="7"/>
  <c r="AD113" i="7" s="1"/>
  <c r="P113" i="7"/>
  <c r="P117" i="7" s="1"/>
  <c r="AC117" i="7" s="1"/>
  <c r="O113" i="7"/>
  <c r="O117" i="7" s="1"/>
  <c r="AB117" i="7" s="1"/>
  <c r="N113" i="7"/>
  <c r="N117" i="7" s="1"/>
  <c r="AA117" i="7" s="1"/>
  <c r="M113" i="7"/>
  <c r="M117" i="7" s="1"/>
  <c r="Z117" i="7" s="1"/>
  <c r="AE112" i="7"/>
  <c r="AD112" i="7"/>
  <c r="AC112" i="7"/>
  <c r="AB112" i="7"/>
  <c r="AA112" i="7"/>
  <c r="Z112" i="7"/>
  <c r="AE110" i="7"/>
  <c r="AD110" i="7"/>
  <c r="AC110" i="7"/>
  <c r="AB110" i="7"/>
  <c r="AA110" i="7"/>
  <c r="Z110" i="7"/>
  <c r="AE109" i="7"/>
  <c r="AD109" i="7"/>
  <c r="AC109" i="7"/>
  <c r="AB109" i="7"/>
  <c r="AA109" i="7"/>
  <c r="Z109" i="7"/>
  <c r="AE108" i="7"/>
  <c r="AD108" i="7"/>
  <c r="AC108" i="7"/>
  <c r="AB108" i="7"/>
  <c r="AA108" i="7"/>
  <c r="Z108" i="7"/>
  <c r="R107" i="7"/>
  <c r="R111" i="7" s="1"/>
  <c r="AE111" i="7" s="1"/>
  <c r="Q107" i="7"/>
  <c r="AD107" i="7" s="1"/>
  <c r="P107" i="7"/>
  <c r="P111" i="7" s="1"/>
  <c r="AC111" i="7" s="1"/>
  <c r="O107" i="7"/>
  <c r="O111" i="7" s="1"/>
  <c r="AB111" i="7" s="1"/>
  <c r="N107" i="7"/>
  <c r="N111" i="7" s="1"/>
  <c r="AA111" i="7" s="1"/>
  <c r="M107" i="7"/>
  <c r="M111" i="7" s="1"/>
  <c r="Z111" i="7" s="1"/>
  <c r="AE106" i="7"/>
  <c r="AD106" i="7"/>
  <c r="AC106" i="7"/>
  <c r="AB106" i="7"/>
  <c r="AA106" i="7"/>
  <c r="Z106" i="7"/>
  <c r="AE104" i="7"/>
  <c r="AD104" i="7"/>
  <c r="AC104" i="7"/>
  <c r="AB104" i="7"/>
  <c r="AA104" i="7"/>
  <c r="Z104" i="7"/>
  <c r="AE103" i="7"/>
  <c r="AD103" i="7"/>
  <c r="AC103" i="7"/>
  <c r="AB103" i="7"/>
  <c r="AA103" i="7"/>
  <c r="Z103" i="7"/>
  <c r="AE102" i="7"/>
  <c r="AD102" i="7"/>
  <c r="AC102" i="7"/>
  <c r="AB102" i="7"/>
  <c r="AA102" i="7"/>
  <c r="Z102" i="7"/>
  <c r="R101" i="7"/>
  <c r="R105" i="7" s="1"/>
  <c r="AE105" i="7" s="1"/>
  <c r="Q101" i="7"/>
  <c r="AD101" i="7" s="1"/>
  <c r="P101" i="7"/>
  <c r="P105" i="7" s="1"/>
  <c r="AC105" i="7" s="1"/>
  <c r="O101" i="7"/>
  <c r="O105" i="7" s="1"/>
  <c r="AB105" i="7" s="1"/>
  <c r="N101" i="7"/>
  <c r="N105" i="7" s="1"/>
  <c r="AA105" i="7" s="1"/>
  <c r="M101" i="7"/>
  <c r="M105" i="7" s="1"/>
  <c r="Z105" i="7" s="1"/>
  <c r="AE100" i="7"/>
  <c r="AD100" i="7"/>
  <c r="AC100" i="7"/>
  <c r="AB100" i="7"/>
  <c r="AA100" i="7"/>
  <c r="Z100" i="7"/>
  <c r="AE98" i="7"/>
  <c r="AD98" i="7"/>
  <c r="AC98" i="7"/>
  <c r="AB98" i="7"/>
  <c r="AA98" i="7"/>
  <c r="Z98" i="7"/>
  <c r="AE97" i="7"/>
  <c r="AD97" i="7"/>
  <c r="AC97" i="7"/>
  <c r="AB97" i="7"/>
  <c r="AA97" i="7"/>
  <c r="Z97" i="7"/>
  <c r="AE96" i="7"/>
  <c r="AD96" i="7"/>
  <c r="AC96" i="7"/>
  <c r="AB96" i="7"/>
  <c r="AA96" i="7"/>
  <c r="Z96" i="7"/>
  <c r="R95" i="7"/>
  <c r="R99" i="7" s="1"/>
  <c r="AE99" i="7" s="1"/>
  <c r="Q95" i="7"/>
  <c r="AD95" i="7" s="1"/>
  <c r="P95" i="7"/>
  <c r="P99" i="7" s="1"/>
  <c r="AC99" i="7" s="1"/>
  <c r="O95" i="7"/>
  <c r="O99" i="7" s="1"/>
  <c r="AB99" i="7" s="1"/>
  <c r="N95" i="7"/>
  <c r="N99" i="7" s="1"/>
  <c r="AA99" i="7" s="1"/>
  <c r="M95" i="7"/>
  <c r="M99" i="7" s="1"/>
  <c r="Z99" i="7" s="1"/>
  <c r="AE94" i="7"/>
  <c r="AD94" i="7"/>
  <c r="AC94" i="7"/>
  <c r="AB94" i="7"/>
  <c r="AA94" i="7"/>
  <c r="Z94" i="7"/>
  <c r="AE92" i="7"/>
  <c r="AD92" i="7"/>
  <c r="AC92" i="7"/>
  <c r="AB92" i="7"/>
  <c r="AA92" i="7"/>
  <c r="Z92" i="7"/>
  <c r="AE91" i="7"/>
  <c r="AD91" i="7"/>
  <c r="AC91" i="7"/>
  <c r="AB91" i="7"/>
  <c r="AA91" i="7"/>
  <c r="Z91" i="7"/>
  <c r="AE90" i="7"/>
  <c r="AD90" i="7"/>
  <c r="AC90" i="7"/>
  <c r="AB90" i="7"/>
  <c r="AA90" i="7"/>
  <c r="Z90" i="7"/>
  <c r="R89" i="7"/>
  <c r="R93" i="7" s="1"/>
  <c r="AE93" i="7" s="1"/>
  <c r="Q89" i="7"/>
  <c r="AD89" i="7" s="1"/>
  <c r="P89" i="7"/>
  <c r="P93" i="7" s="1"/>
  <c r="AC93" i="7" s="1"/>
  <c r="O89" i="7"/>
  <c r="O93" i="7" s="1"/>
  <c r="AB93" i="7" s="1"/>
  <c r="N89" i="7"/>
  <c r="N93" i="7" s="1"/>
  <c r="AA93" i="7" s="1"/>
  <c r="M89" i="7"/>
  <c r="M93" i="7" s="1"/>
  <c r="Z93" i="7" s="1"/>
  <c r="AE88" i="7"/>
  <c r="AD88" i="7"/>
  <c r="AC88" i="7"/>
  <c r="AB88" i="7"/>
  <c r="AA88" i="7"/>
  <c r="Z88" i="7"/>
  <c r="AE86" i="7"/>
  <c r="AD86" i="7"/>
  <c r="AC86" i="7"/>
  <c r="AB86" i="7"/>
  <c r="AA86" i="7"/>
  <c r="Z86" i="7"/>
  <c r="AE85" i="7"/>
  <c r="AD85" i="7"/>
  <c r="AC85" i="7"/>
  <c r="AB85" i="7"/>
  <c r="AA85" i="7"/>
  <c r="Z85" i="7"/>
  <c r="AE84" i="7"/>
  <c r="AD84" i="7"/>
  <c r="AC84" i="7"/>
  <c r="AB84" i="7"/>
  <c r="AA84" i="7"/>
  <c r="Z84" i="7"/>
  <c r="R83" i="7"/>
  <c r="R87" i="7" s="1"/>
  <c r="AE87" i="7" s="1"/>
  <c r="Q83" i="7"/>
  <c r="AD83" i="7" s="1"/>
  <c r="P83" i="7"/>
  <c r="P87" i="7" s="1"/>
  <c r="AC87" i="7" s="1"/>
  <c r="O83" i="7"/>
  <c r="O87" i="7" s="1"/>
  <c r="AB87" i="7" s="1"/>
  <c r="N83" i="7"/>
  <c r="N87" i="7" s="1"/>
  <c r="AA87" i="7" s="1"/>
  <c r="M83" i="7"/>
  <c r="M87" i="7" s="1"/>
  <c r="Z87" i="7" s="1"/>
  <c r="AE82" i="7"/>
  <c r="AD82" i="7"/>
  <c r="AC82" i="7"/>
  <c r="AB82" i="7"/>
  <c r="AA82" i="7"/>
  <c r="Z82" i="7"/>
  <c r="AE80" i="7"/>
  <c r="AD80" i="7"/>
  <c r="AC80" i="7"/>
  <c r="AB80" i="7"/>
  <c r="AA80" i="7"/>
  <c r="Z80" i="7"/>
  <c r="AE79" i="7"/>
  <c r="AD79" i="7"/>
  <c r="AC79" i="7"/>
  <c r="AB79" i="7"/>
  <c r="AA79" i="7"/>
  <c r="Z79" i="7"/>
  <c r="AE78" i="7"/>
  <c r="AD78" i="7"/>
  <c r="AC78" i="7"/>
  <c r="AB78" i="7"/>
  <c r="AA78" i="7"/>
  <c r="Z78" i="7"/>
  <c r="R77" i="7"/>
  <c r="R81" i="7" s="1"/>
  <c r="AE81" i="7" s="1"/>
  <c r="Q77" i="7"/>
  <c r="AD77" i="7" s="1"/>
  <c r="P77" i="7"/>
  <c r="P81" i="7" s="1"/>
  <c r="AC81" i="7" s="1"/>
  <c r="O77" i="7"/>
  <c r="O81" i="7" s="1"/>
  <c r="AB81" i="7" s="1"/>
  <c r="N77" i="7"/>
  <c r="N81" i="7" s="1"/>
  <c r="AA81" i="7" s="1"/>
  <c r="M77" i="7"/>
  <c r="M81" i="7" s="1"/>
  <c r="Z81" i="7" s="1"/>
  <c r="AE76" i="7"/>
  <c r="AD76" i="7"/>
  <c r="AC76" i="7"/>
  <c r="AB76" i="7"/>
  <c r="AA76" i="7"/>
  <c r="Z76" i="7"/>
  <c r="AE74" i="7"/>
  <c r="AD74" i="7"/>
  <c r="AC74" i="7"/>
  <c r="AB74" i="7"/>
  <c r="AA74" i="7"/>
  <c r="Z74" i="7"/>
  <c r="AE73" i="7"/>
  <c r="AD73" i="7"/>
  <c r="AC73" i="7"/>
  <c r="AB73" i="7"/>
  <c r="AA73" i="7"/>
  <c r="Z73" i="7"/>
  <c r="AE72" i="7"/>
  <c r="AD72" i="7"/>
  <c r="AC72" i="7"/>
  <c r="AB72" i="7"/>
  <c r="AA72" i="7"/>
  <c r="Z72" i="7"/>
  <c r="R71" i="7"/>
  <c r="R75" i="7" s="1"/>
  <c r="AE75" i="7" s="1"/>
  <c r="Q71" i="7"/>
  <c r="AD71" i="7" s="1"/>
  <c r="P71" i="7"/>
  <c r="P75" i="7" s="1"/>
  <c r="AC75" i="7" s="1"/>
  <c r="O71" i="7"/>
  <c r="O75" i="7" s="1"/>
  <c r="AB75" i="7" s="1"/>
  <c r="N71" i="7"/>
  <c r="N75" i="7" s="1"/>
  <c r="AA75" i="7" s="1"/>
  <c r="M71" i="7"/>
  <c r="M75" i="7" s="1"/>
  <c r="Z75" i="7" s="1"/>
  <c r="AE70" i="7"/>
  <c r="AD70" i="7"/>
  <c r="AC70" i="7"/>
  <c r="AB70" i="7"/>
  <c r="AA70" i="7"/>
  <c r="Z70" i="7"/>
  <c r="AE68" i="7"/>
  <c r="AD68" i="7"/>
  <c r="AC68" i="7"/>
  <c r="AB68" i="7"/>
  <c r="AA68" i="7"/>
  <c r="Z68" i="7"/>
  <c r="AE67" i="7"/>
  <c r="AD67" i="7"/>
  <c r="AC67" i="7"/>
  <c r="AB67" i="7"/>
  <c r="AA67" i="7"/>
  <c r="Z67" i="7"/>
  <c r="AE66" i="7"/>
  <c r="AD66" i="7"/>
  <c r="AC66" i="7"/>
  <c r="AB66" i="7"/>
  <c r="AA66" i="7"/>
  <c r="Z66" i="7"/>
  <c r="R65" i="7"/>
  <c r="R69" i="7" s="1"/>
  <c r="AE69" i="7" s="1"/>
  <c r="Q65" i="7"/>
  <c r="AD65" i="7" s="1"/>
  <c r="P65" i="7"/>
  <c r="P69" i="7" s="1"/>
  <c r="AC69" i="7" s="1"/>
  <c r="O65" i="7"/>
  <c r="O69" i="7" s="1"/>
  <c r="AB69" i="7" s="1"/>
  <c r="N65" i="7"/>
  <c r="N69" i="7" s="1"/>
  <c r="AA69" i="7" s="1"/>
  <c r="M65" i="7"/>
  <c r="M69" i="7" s="1"/>
  <c r="Z69" i="7" s="1"/>
  <c r="AE64" i="7"/>
  <c r="AD64" i="7"/>
  <c r="AC64" i="7"/>
  <c r="AB64" i="7"/>
  <c r="AA64" i="7"/>
  <c r="Z64" i="7"/>
  <c r="AE62" i="7"/>
  <c r="AD62" i="7"/>
  <c r="AC62" i="7"/>
  <c r="AB62" i="7"/>
  <c r="AA62" i="7"/>
  <c r="Z62" i="7"/>
  <c r="AE61" i="7"/>
  <c r="AD61" i="7"/>
  <c r="AC61" i="7"/>
  <c r="AB61" i="7"/>
  <c r="AA61" i="7"/>
  <c r="Z61" i="7"/>
  <c r="AE60" i="7"/>
  <c r="AD60" i="7"/>
  <c r="AC60" i="7"/>
  <c r="AB60" i="7"/>
  <c r="AA60" i="7"/>
  <c r="Z60" i="7"/>
  <c r="R59" i="7"/>
  <c r="R63" i="7" s="1"/>
  <c r="AE63" i="7" s="1"/>
  <c r="Q59" i="7"/>
  <c r="AD59" i="7" s="1"/>
  <c r="P59" i="7"/>
  <c r="P63" i="7" s="1"/>
  <c r="AC63" i="7" s="1"/>
  <c r="O59" i="7"/>
  <c r="O63" i="7" s="1"/>
  <c r="AB63" i="7" s="1"/>
  <c r="N59" i="7"/>
  <c r="N63" i="7" s="1"/>
  <c r="AA63" i="7" s="1"/>
  <c r="M59" i="7"/>
  <c r="M63" i="7" s="1"/>
  <c r="Z63" i="7" s="1"/>
  <c r="AE58" i="7"/>
  <c r="AD58" i="7"/>
  <c r="AC58" i="7"/>
  <c r="AB58" i="7"/>
  <c r="AA58" i="7"/>
  <c r="Z58" i="7"/>
  <c r="AE56" i="7"/>
  <c r="AD56" i="7"/>
  <c r="AC56" i="7"/>
  <c r="AB56" i="7"/>
  <c r="AA56" i="7"/>
  <c r="Z56" i="7"/>
  <c r="AE55" i="7"/>
  <c r="AD55" i="7"/>
  <c r="AC55" i="7"/>
  <c r="AB55" i="7"/>
  <c r="AA55" i="7"/>
  <c r="Z55" i="7"/>
  <c r="AE54" i="7"/>
  <c r="AD54" i="7"/>
  <c r="AC54" i="7"/>
  <c r="AB54" i="7"/>
  <c r="AA54" i="7"/>
  <c r="Z54" i="7"/>
  <c r="R53" i="7"/>
  <c r="R57" i="7" s="1"/>
  <c r="AE57" i="7" s="1"/>
  <c r="Q53" i="7"/>
  <c r="AD53" i="7" s="1"/>
  <c r="P53" i="7"/>
  <c r="P57" i="7" s="1"/>
  <c r="AC57" i="7" s="1"/>
  <c r="O53" i="7"/>
  <c r="O57" i="7" s="1"/>
  <c r="AB57" i="7" s="1"/>
  <c r="N53" i="7"/>
  <c r="N57" i="7" s="1"/>
  <c r="AA57" i="7" s="1"/>
  <c r="M53" i="7"/>
  <c r="M57" i="7" s="1"/>
  <c r="Z57" i="7" s="1"/>
  <c r="AE52" i="7"/>
  <c r="AD52" i="7"/>
  <c r="AC52" i="7"/>
  <c r="AB52" i="7"/>
  <c r="AA52" i="7"/>
  <c r="Z52" i="7"/>
  <c r="AE50" i="7"/>
  <c r="AD50" i="7"/>
  <c r="AC50" i="7"/>
  <c r="AB50" i="7"/>
  <c r="AA50" i="7"/>
  <c r="Z50" i="7"/>
  <c r="AE49" i="7"/>
  <c r="AD49" i="7"/>
  <c r="AC49" i="7"/>
  <c r="AB49" i="7"/>
  <c r="AA49" i="7"/>
  <c r="Z49" i="7"/>
  <c r="AE48" i="7"/>
  <c r="AD48" i="7"/>
  <c r="AC48" i="7"/>
  <c r="AB48" i="7"/>
  <c r="AA48" i="7"/>
  <c r="Z48" i="7"/>
  <c r="R47" i="7"/>
  <c r="R51" i="7" s="1"/>
  <c r="AE51" i="7" s="1"/>
  <c r="Q47" i="7"/>
  <c r="Q51" i="7" s="1"/>
  <c r="AD51" i="7" s="1"/>
  <c r="P47" i="7"/>
  <c r="P51" i="7" s="1"/>
  <c r="AC51" i="7" s="1"/>
  <c r="O47" i="7"/>
  <c r="O51" i="7" s="1"/>
  <c r="AB51" i="7" s="1"/>
  <c r="N47" i="7"/>
  <c r="N51" i="7" s="1"/>
  <c r="AA51" i="7" s="1"/>
  <c r="M47" i="7"/>
  <c r="M51" i="7" s="1"/>
  <c r="Z51" i="7" s="1"/>
  <c r="AE46" i="7"/>
  <c r="AD46" i="7"/>
  <c r="AC46" i="7"/>
  <c r="AB46" i="7"/>
  <c r="AA46" i="7"/>
  <c r="Z46" i="7"/>
  <c r="AE44" i="7"/>
  <c r="AD44" i="7"/>
  <c r="AC44" i="7"/>
  <c r="AB44" i="7"/>
  <c r="AA44" i="7"/>
  <c r="Z44" i="7"/>
  <c r="AE43" i="7"/>
  <c r="AD43" i="7"/>
  <c r="AC43" i="7"/>
  <c r="AB43" i="7"/>
  <c r="AA43" i="7"/>
  <c r="Z43" i="7"/>
  <c r="AE42" i="7"/>
  <c r="AD42" i="7"/>
  <c r="AC42" i="7"/>
  <c r="AB42" i="7"/>
  <c r="AA42" i="7"/>
  <c r="Z42" i="7"/>
  <c r="R41" i="7"/>
  <c r="R45" i="7" s="1"/>
  <c r="AE45" i="7" s="1"/>
  <c r="Q41" i="7"/>
  <c r="Q45" i="7" s="1"/>
  <c r="AD45" i="7" s="1"/>
  <c r="P41" i="7"/>
  <c r="P45" i="7" s="1"/>
  <c r="AC45" i="7" s="1"/>
  <c r="O41" i="7"/>
  <c r="AB41" i="7" s="1"/>
  <c r="N41" i="7"/>
  <c r="N45" i="7" s="1"/>
  <c r="AA45" i="7" s="1"/>
  <c r="M41" i="7"/>
  <c r="M45" i="7" s="1"/>
  <c r="Z45" i="7" s="1"/>
  <c r="AE40" i="7"/>
  <c r="AD40" i="7"/>
  <c r="AC40" i="7"/>
  <c r="AB40" i="7"/>
  <c r="AA40" i="7"/>
  <c r="Z40" i="7"/>
  <c r="AE38" i="7"/>
  <c r="AD38" i="7"/>
  <c r="AC38" i="7"/>
  <c r="AB38" i="7"/>
  <c r="AA38" i="7"/>
  <c r="Z38" i="7"/>
  <c r="AE37" i="7"/>
  <c r="AD37" i="7"/>
  <c r="AC37" i="7"/>
  <c r="AB37" i="7"/>
  <c r="AA37" i="7"/>
  <c r="Z37" i="7"/>
  <c r="AE36" i="7"/>
  <c r="AD36" i="7"/>
  <c r="AC36" i="7"/>
  <c r="AB36" i="7"/>
  <c r="AA36" i="7"/>
  <c r="Z36" i="7"/>
  <c r="R35" i="7"/>
  <c r="R39" i="7" s="1"/>
  <c r="AE39" i="7" s="1"/>
  <c r="Q35" i="7"/>
  <c r="Q39" i="7" s="1"/>
  <c r="AD39" i="7" s="1"/>
  <c r="P35" i="7"/>
  <c r="P39" i="7" s="1"/>
  <c r="AC39" i="7" s="1"/>
  <c r="O35" i="7"/>
  <c r="AB35" i="7" s="1"/>
  <c r="N35" i="7"/>
  <c r="N39" i="7" s="1"/>
  <c r="AA39" i="7" s="1"/>
  <c r="M35" i="7"/>
  <c r="M39" i="7" s="1"/>
  <c r="Z39" i="7" s="1"/>
  <c r="AE34" i="7"/>
  <c r="AD34" i="7"/>
  <c r="AC34" i="7"/>
  <c r="AB34" i="7"/>
  <c r="AA34" i="7"/>
  <c r="Z34" i="7"/>
  <c r="AE32" i="7"/>
  <c r="AD32" i="7"/>
  <c r="AC32" i="7"/>
  <c r="AB32" i="7"/>
  <c r="AA32" i="7"/>
  <c r="Z32" i="7"/>
  <c r="Y32" i="7"/>
  <c r="X32" i="7"/>
  <c r="W32" i="7"/>
  <c r="V32" i="7"/>
  <c r="U32" i="7"/>
  <c r="AE31" i="7"/>
  <c r="AD31" i="7"/>
  <c r="AC31" i="7"/>
  <c r="AA31" i="7"/>
  <c r="U31" i="7"/>
  <c r="O31" i="7"/>
  <c r="O139" i="7" s="1"/>
  <c r="N31" i="7"/>
  <c r="N139" i="7" s="1"/>
  <c r="M31" i="7"/>
  <c r="M139" i="7" s="1"/>
  <c r="L31" i="7"/>
  <c r="Y31" i="7" s="1"/>
  <c r="K31" i="7"/>
  <c r="X31" i="7" s="1"/>
  <c r="J31" i="7"/>
  <c r="W31" i="7" s="1"/>
  <c r="I31" i="7"/>
  <c r="V31" i="7" s="1"/>
  <c r="AE30" i="7"/>
  <c r="AD30" i="7"/>
  <c r="AC30" i="7"/>
  <c r="AB30" i="7"/>
  <c r="AA30" i="7"/>
  <c r="Z30" i="7"/>
  <c r="Y30" i="7"/>
  <c r="X30" i="7"/>
  <c r="W30" i="7"/>
  <c r="V30" i="7"/>
  <c r="U30" i="7"/>
  <c r="R29" i="7"/>
  <c r="Q29" i="7"/>
  <c r="AD29" i="7" s="1"/>
  <c r="P29" i="7"/>
  <c r="AC29" i="7" s="1"/>
  <c r="O29" i="7"/>
  <c r="O33" i="7" s="1"/>
  <c r="AB33" i="7" s="1"/>
  <c r="N29" i="7"/>
  <c r="AA29" i="7" s="1"/>
  <c r="M29" i="7"/>
  <c r="L29" i="7"/>
  <c r="K29" i="7"/>
  <c r="X29" i="7" s="1"/>
  <c r="J29" i="7"/>
  <c r="W29" i="7" s="1"/>
  <c r="I29" i="7"/>
  <c r="H29" i="7"/>
  <c r="U29" i="7" s="1"/>
  <c r="AE28" i="7"/>
  <c r="AD28" i="7"/>
  <c r="AC28" i="7"/>
  <c r="AB28" i="7"/>
  <c r="AA28" i="7"/>
  <c r="Z28" i="7"/>
  <c r="Y28" i="7"/>
  <c r="X28" i="7"/>
  <c r="W28" i="7"/>
  <c r="V28" i="7"/>
  <c r="U28" i="7"/>
  <c r="U27" i="7"/>
  <c r="AE26" i="7"/>
  <c r="AD26" i="7"/>
  <c r="AC26" i="7"/>
  <c r="AB26" i="7"/>
  <c r="AA26" i="7"/>
  <c r="Z26" i="7"/>
  <c r="U26" i="7"/>
  <c r="AE25" i="7"/>
  <c r="AD25" i="7"/>
  <c r="AC25" i="7"/>
  <c r="AB25" i="7"/>
  <c r="AA25" i="7"/>
  <c r="Z25" i="7"/>
  <c r="U25" i="7"/>
  <c r="AE24" i="7"/>
  <c r="AD24" i="7"/>
  <c r="AC24" i="7"/>
  <c r="AB24" i="7"/>
  <c r="AA24" i="7"/>
  <c r="Z24" i="7"/>
  <c r="U24" i="7"/>
  <c r="U23" i="7"/>
  <c r="R23" i="7"/>
  <c r="R27" i="7" s="1"/>
  <c r="AE27" i="7" s="1"/>
  <c r="Q23" i="7"/>
  <c r="AD23" i="7" s="1"/>
  <c r="P23" i="7"/>
  <c r="O23" i="7"/>
  <c r="AB23" i="7" s="1"/>
  <c r="N23" i="7"/>
  <c r="N27" i="7" s="1"/>
  <c r="AA27" i="7" s="1"/>
  <c r="M23" i="7"/>
  <c r="AE22" i="7"/>
  <c r="AD22" i="7"/>
  <c r="AC22" i="7"/>
  <c r="AB22" i="7"/>
  <c r="AA22" i="7"/>
  <c r="Z22" i="7"/>
  <c r="U22" i="7"/>
  <c r="AE20" i="7"/>
  <c r="AD20" i="7"/>
  <c r="AC20" i="7"/>
  <c r="AB20" i="7"/>
  <c r="AA20" i="7"/>
  <c r="Z20" i="7"/>
  <c r="AB19" i="7"/>
  <c r="AA19" i="7"/>
  <c r="Z19" i="7"/>
  <c r="R19" i="7"/>
  <c r="Q19" i="7"/>
  <c r="P19" i="7"/>
  <c r="AE18" i="7"/>
  <c r="AD18" i="7"/>
  <c r="AC18" i="7"/>
  <c r="AB18" i="7"/>
  <c r="AA18" i="7"/>
  <c r="Z18" i="7"/>
  <c r="R17" i="7"/>
  <c r="AE17" i="7" s="1"/>
  <c r="Q17" i="7"/>
  <c r="AD17" i="7" s="1"/>
  <c r="P17" i="7"/>
  <c r="O17" i="7"/>
  <c r="AB17" i="7" s="1"/>
  <c r="N17" i="7"/>
  <c r="M17" i="7"/>
  <c r="AE16" i="7"/>
  <c r="AD16" i="7"/>
  <c r="AC16" i="7"/>
  <c r="AB16" i="7"/>
  <c r="AA16" i="7"/>
  <c r="Z16" i="7"/>
  <c r="AE15" i="7"/>
  <c r="AD15" i="7"/>
  <c r="AC15" i="7"/>
  <c r="AB15" i="7"/>
  <c r="AA15" i="7"/>
  <c r="Z15" i="7"/>
  <c r="R15" i="7"/>
  <c r="Q15" i="7"/>
  <c r="P15" i="7"/>
  <c r="O15" i="7"/>
  <c r="N15" i="7"/>
  <c r="M15" i="7"/>
  <c r="AC248" i="7" l="1"/>
  <c r="AA479" i="7"/>
  <c r="AC491" i="7"/>
  <c r="P525" i="7"/>
  <c r="M625" i="7"/>
  <c r="O621" i="7"/>
  <c r="I33" i="7"/>
  <c r="V33" i="7" s="1"/>
  <c r="P501" i="7"/>
  <c r="AC501" i="7" s="1"/>
  <c r="Q525" i="7"/>
  <c r="N625" i="7"/>
  <c r="AC670" i="7"/>
  <c r="Z672" i="7"/>
  <c r="N651" i="7"/>
  <c r="AA651" i="7" s="1"/>
  <c r="Q665" i="7"/>
  <c r="P529" i="7"/>
  <c r="AD673" i="7"/>
  <c r="O339" i="7"/>
  <c r="AB339" i="7" s="1"/>
  <c r="Q529" i="7"/>
  <c r="AE673" i="7"/>
  <c r="AB673" i="7"/>
  <c r="AD672" i="7"/>
  <c r="R273" i="7"/>
  <c r="AE273" i="7" s="1"/>
  <c r="AE702" i="7"/>
  <c r="R139" i="7"/>
  <c r="R702" i="7"/>
  <c r="R321" i="7"/>
  <c r="AE321" i="7" s="1"/>
  <c r="AE275" i="7"/>
  <c r="Q327" i="7"/>
  <c r="AD327" i="7" s="1"/>
  <c r="P483" i="7"/>
  <c r="AC483" i="7" s="1"/>
  <c r="O625" i="7"/>
  <c r="O609" i="7"/>
  <c r="AB609" i="7" s="1"/>
  <c r="Z670" i="7"/>
  <c r="AA672" i="7"/>
  <c r="N702" i="7"/>
  <c r="AA702" i="7"/>
  <c r="P135" i="7"/>
  <c r="Z244" i="7"/>
  <c r="AB149" i="7"/>
  <c r="AE281" i="7"/>
  <c r="AE299" i="7"/>
  <c r="AD305" i="7"/>
  <c r="R327" i="7"/>
  <c r="AE327" i="7" s="1"/>
  <c r="O351" i="7"/>
  <c r="AB351" i="7" s="1"/>
  <c r="Q369" i="7"/>
  <c r="AD369" i="7" s="1"/>
  <c r="AE437" i="7"/>
  <c r="P507" i="7"/>
  <c r="AC507" i="7" s="1"/>
  <c r="AA670" i="7"/>
  <c r="AC673" i="7"/>
  <c r="AC674" i="7"/>
  <c r="P702" i="7"/>
  <c r="O27" i="7"/>
  <c r="AB27" i="7" s="1"/>
  <c r="V29" i="7"/>
  <c r="O159" i="7"/>
  <c r="AB159" i="7" s="1"/>
  <c r="P303" i="7"/>
  <c r="AC303" i="7" s="1"/>
  <c r="Q33" i="7"/>
  <c r="AD33" i="7" s="1"/>
  <c r="AA246" i="7"/>
  <c r="AB197" i="7"/>
  <c r="AB473" i="7"/>
  <c r="Z622" i="7"/>
  <c r="AE624" i="7"/>
  <c r="AB557" i="7"/>
  <c r="AC545" i="7"/>
  <c r="AA599" i="7"/>
  <c r="H33" i="7"/>
  <c r="U33" i="7" s="1"/>
  <c r="AA323" i="7"/>
  <c r="K33" i="7"/>
  <c r="X33" i="7" s="1"/>
  <c r="AA244" i="7"/>
  <c r="Z246" i="7"/>
  <c r="Z247" i="7"/>
  <c r="Z248" i="7"/>
  <c r="M245" i="7"/>
  <c r="AC376" i="7"/>
  <c r="AC379" i="7"/>
  <c r="AB323" i="7"/>
  <c r="AA329" i="7"/>
  <c r="M351" i="7"/>
  <c r="Z351" i="7" s="1"/>
  <c r="Z528" i="7"/>
  <c r="Z530" i="7"/>
  <c r="P405" i="7"/>
  <c r="AC405" i="7" s="1"/>
  <c r="AC531" i="7" s="1"/>
  <c r="Q483" i="7"/>
  <c r="AD483" i="7" s="1"/>
  <c r="Q513" i="7"/>
  <c r="AD513" i="7" s="1"/>
  <c r="N623" i="7"/>
  <c r="Z624" i="7"/>
  <c r="AC541" i="7"/>
  <c r="AC625" i="7" s="1"/>
  <c r="AE626" i="7"/>
  <c r="N555" i="7"/>
  <c r="AA555" i="7" s="1"/>
  <c r="AC557" i="7"/>
  <c r="AC599" i="7"/>
  <c r="Q609" i="7"/>
  <c r="AD609" i="7" s="1"/>
  <c r="AD670" i="7"/>
  <c r="Z673" i="7"/>
  <c r="Z674" i="7"/>
  <c r="O651" i="7"/>
  <c r="AB651" i="7" s="1"/>
  <c r="R527" i="7"/>
  <c r="N137" i="7"/>
  <c r="Z140" i="7"/>
  <c r="AA138" i="7"/>
  <c r="AB244" i="7"/>
  <c r="AA247" i="7"/>
  <c r="AA248" i="7"/>
  <c r="O165" i="7"/>
  <c r="AB165" i="7" s="1"/>
  <c r="AD376" i="7"/>
  <c r="AD380" i="7"/>
  <c r="AA380" i="7"/>
  <c r="Z311" i="7"/>
  <c r="AB329" i="7"/>
  <c r="AE365" i="7"/>
  <c r="N527" i="7"/>
  <c r="AA530" i="7"/>
  <c r="R513" i="7"/>
  <c r="AE513" i="7" s="1"/>
  <c r="AE515" i="7"/>
  <c r="O623" i="7"/>
  <c r="Z626" i="7"/>
  <c r="P615" i="7"/>
  <c r="AC615" i="7" s="1"/>
  <c r="AA674" i="7"/>
  <c r="N671" i="7"/>
  <c r="Q671" i="7"/>
  <c r="R429" i="7"/>
  <c r="AE429" i="7" s="1"/>
  <c r="P139" i="7"/>
  <c r="Q139" i="7"/>
  <c r="AC136" i="7"/>
  <c r="AA23" i="7"/>
  <c r="Q27" i="7"/>
  <c r="AD27" i="7" s="1"/>
  <c r="AB29" i="7"/>
  <c r="AB31" i="7"/>
  <c r="M123" i="7"/>
  <c r="Z123" i="7" s="1"/>
  <c r="AE125" i="7"/>
  <c r="AC244" i="7"/>
  <c r="P245" i="7"/>
  <c r="AB248" i="7"/>
  <c r="AB173" i="7"/>
  <c r="AA376" i="7"/>
  <c r="AA379" i="7"/>
  <c r="P267" i="7"/>
  <c r="AC267" i="7" s="1"/>
  <c r="AA311" i="7"/>
  <c r="R333" i="7"/>
  <c r="AE333" i="7" s="1"/>
  <c r="AC359" i="7"/>
  <c r="AB530" i="7"/>
  <c r="AB407" i="7"/>
  <c r="Q441" i="7"/>
  <c r="AD441" i="7" s="1"/>
  <c r="AD461" i="7"/>
  <c r="Q507" i="7"/>
  <c r="AD507" i="7" s="1"/>
  <c r="N519" i="7"/>
  <c r="AA519" i="7" s="1"/>
  <c r="P623" i="7"/>
  <c r="N549" i="7"/>
  <c r="AA549" i="7" s="1"/>
  <c r="AB674" i="7"/>
  <c r="O671" i="7"/>
  <c r="N525" i="7"/>
  <c r="R657" i="7"/>
  <c r="AE657" i="7" s="1"/>
  <c r="AD136" i="7"/>
  <c r="AC140" i="7"/>
  <c r="AE23" i="7"/>
  <c r="N123" i="7"/>
  <c r="AA123" i="7" s="1"/>
  <c r="Q135" i="7"/>
  <c r="AD244" i="7"/>
  <c r="Q245" i="7"/>
  <c r="AC246" i="7"/>
  <c r="AC247" i="7"/>
  <c r="O231" i="7"/>
  <c r="AB231" i="7" s="1"/>
  <c r="AD359" i="7"/>
  <c r="AC526" i="7"/>
  <c r="AC528" i="7"/>
  <c r="Z529" i="7"/>
  <c r="AD563" i="7"/>
  <c r="AD138" i="7"/>
  <c r="AD140" i="7"/>
  <c r="M33" i="7"/>
  <c r="Z33" i="7" s="1"/>
  <c r="P123" i="7"/>
  <c r="AC123" i="7" s="1"/>
  <c r="R245" i="7"/>
  <c r="AD246" i="7"/>
  <c r="AD247" i="7"/>
  <c r="O183" i="7"/>
  <c r="AB183" i="7" s="1"/>
  <c r="O237" i="7"/>
  <c r="AB237" i="7" s="1"/>
  <c r="AD311" i="7"/>
  <c r="AD526" i="7"/>
  <c r="Q527" i="7"/>
  <c r="AA529" i="7"/>
  <c r="AD530" i="7"/>
  <c r="AB485" i="7"/>
  <c r="N501" i="7"/>
  <c r="AA501" i="7" s="1"/>
  <c r="AC626" i="7"/>
  <c r="Q657" i="7"/>
  <c r="AD657" i="7" s="1"/>
  <c r="O702" i="7"/>
  <c r="M21" i="7"/>
  <c r="M137" i="7"/>
  <c r="AA139" i="7"/>
  <c r="AA140" i="7"/>
  <c r="L33" i="7"/>
  <c r="Y33" i="7" s="1"/>
  <c r="Y29" i="7"/>
  <c r="R33" i="7"/>
  <c r="AE33" i="7" s="1"/>
  <c r="AE29" i="7"/>
  <c r="N33" i="7"/>
  <c r="AA33" i="7" s="1"/>
  <c r="AA17" i="7"/>
  <c r="AB139" i="7"/>
  <c r="N21" i="7"/>
  <c r="AC23" i="7"/>
  <c r="P27" i="7"/>
  <c r="AC27" i="7" s="1"/>
  <c r="P33" i="7"/>
  <c r="AC33" i="7" s="1"/>
  <c r="AD35" i="7"/>
  <c r="AD41" i="7"/>
  <c r="AD47" i="7"/>
  <c r="Q57" i="7"/>
  <c r="AD57" i="7" s="1"/>
  <c r="Q63" i="7"/>
  <c r="AD63" i="7" s="1"/>
  <c r="Q69" i="7"/>
  <c r="AD69" i="7" s="1"/>
  <c r="Q75" i="7"/>
  <c r="AD75" i="7" s="1"/>
  <c r="Q81" i="7"/>
  <c r="AD81" i="7" s="1"/>
  <c r="Q87" i="7"/>
  <c r="AD87" i="7" s="1"/>
  <c r="Q93" i="7"/>
  <c r="AD93" i="7" s="1"/>
  <c r="Q99" i="7"/>
  <c r="AD99" i="7" s="1"/>
  <c r="Q105" i="7"/>
  <c r="AD105" i="7" s="1"/>
  <c r="Q111" i="7"/>
  <c r="AD111" i="7" s="1"/>
  <c r="Q117" i="7"/>
  <c r="AD117" i="7" s="1"/>
  <c r="R137" i="7"/>
  <c r="AB185" i="7"/>
  <c r="O189" i="7"/>
  <c r="AB189" i="7" s="1"/>
  <c r="AC261" i="7"/>
  <c r="AE47" i="7"/>
  <c r="AE244" i="7"/>
  <c r="O137" i="7"/>
  <c r="O21" i="7"/>
  <c r="P21" i="7"/>
  <c r="O39" i="7"/>
  <c r="AB39" i="7" s="1"/>
  <c r="O129" i="7"/>
  <c r="AB129" i="7" s="1"/>
  <c r="AB125" i="7"/>
  <c r="AB247" i="7"/>
  <c r="AC19" i="7"/>
  <c r="AC139" i="7" s="1"/>
  <c r="AE35" i="7"/>
  <c r="AE41" i="7"/>
  <c r="AD19" i="7"/>
  <c r="Q21" i="7"/>
  <c r="O45" i="7"/>
  <c r="AB45" i="7" s="1"/>
  <c r="AE136" i="7"/>
  <c r="Q137" i="7"/>
  <c r="AC138" i="7"/>
  <c r="M27" i="7"/>
  <c r="Z27" i="7" s="1"/>
  <c r="Z23" i="7"/>
  <c r="Z29" i="7"/>
  <c r="J33" i="7"/>
  <c r="W33" i="7" s="1"/>
  <c r="AD119" i="7"/>
  <c r="AA136" i="7"/>
  <c r="Z17" i="7"/>
  <c r="AE138" i="7"/>
  <c r="AB47" i="7"/>
  <c r="AB153" i="7"/>
  <c r="AD379" i="7"/>
  <c r="AB136" i="7"/>
  <c r="AB138" i="7"/>
  <c r="AE140" i="7"/>
  <c r="Z31" i="7"/>
  <c r="Z139" i="7" s="1"/>
  <c r="AC35" i="7"/>
  <c r="AC41" i="7"/>
  <c r="AC47" i="7"/>
  <c r="AC53" i="7"/>
  <c r="AC59" i="7"/>
  <c r="AC65" i="7"/>
  <c r="AC71" i="7"/>
  <c r="AC77" i="7"/>
  <c r="AC83" i="7"/>
  <c r="AC89" i="7"/>
  <c r="AC95" i="7"/>
  <c r="AC101" i="7"/>
  <c r="AC107" i="7"/>
  <c r="AC113" i="7"/>
  <c r="R123" i="7"/>
  <c r="AE123" i="7" s="1"/>
  <c r="AB167" i="7"/>
  <c r="AB191" i="7"/>
  <c r="O213" i="7"/>
  <c r="AB213" i="7" s="1"/>
  <c r="O219" i="7"/>
  <c r="AB219" i="7" s="1"/>
  <c r="O225" i="7"/>
  <c r="AB225" i="7" s="1"/>
  <c r="R267" i="7"/>
  <c r="AE267" i="7" s="1"/>
  <c r="Q297" i="7"/>
  <c r="AD297" i="7" s="1"/>
  <c r="AD293" i="7"/>
  <c r="AE53" i="7"/>
  <c r="AE59" i="7"/>
  <c r="AE65" i="7"/>
  <c r="AE71" i="7"/>
  <c r="AE77" i="7"/>
  <c r="AE83" i="7"/>
  <c r="AE89" i="7"/>
  <c r="AE95" i="7"/>
  <c r="AE101" i="7"/>
  <c r="AE107" i="7"/>
  <c r="AE113" i="7"/>
  <c r="Z153" i="7"/>
  <c r="Z249" i="7" s="1"/>
  <c r="M249" i="7"/>
  <c r="Q377" i="7"/>
  <c r="Q261" i="7"/>
  <c r="AE19" i="7"/>
  <c r="R21" i="7"/>
  <c r="Z35" i="7"/>
  <c r="Z41" i="7"/>
  <c r="Z47" i="7"/>
  <c r="Z53" i="7"/>
  <c r="Z59" i="7"/>
  <c r="Z65" i="7"/>
  <c r="Z71" i="7"/>
  <c r="Z77" i="7"/>
  <c r="Z83" i="7"/>
  <c r="Z89" i="7"/>
  <c r="Z95" i="7"/>
  <c r="Z101" i="7"/>
  <c r="Z107" i="7"/>
  <c r="Z113" i="7"/>
  <c r="AA153" i="7"/>
  <c r="AA249" i="7" s="1"/>
  <c r="N249" i="7"/>
  <c r="AE246" i="7"/>
  <c r="AE305" i="7"/>
  <c r="R309" i="7"/>
  <c r="AE309" i="7" s="1"/>
  <c r="AB140" i="7"/>
  <c r="Z136" i="7"/>
  <c r="P137" i="7"/>
  <c r="AC17" i="7"/>
  <c r="Z138" i="7"/>
  <c r="AA35" i="7"/>
  <c r="AA41" i="7"/>
  <c r="AA47" i="7"/>
  <c r="AA53" i="7"/>
  <c r="AA59" i="7"/>
  <c r="AA65" i="7"/>
  <c r="AA71" i="7"/>
  <c r="AA77" i="7"/>
  <c r="AA83" i="7"/>
  <c r="AA89" i="7"/>
  <c r="AA95" i="7"/>
  <c r="AA101" i="7"/>
  <c r="AA107" i="7"/>
  <c r="AA113" i="7"/>
  <c r="O123" i="7"/>
  <c r="AB123" i="7" s="1"/>
  <c r="O245" i="7"/>
  <c r="AE261" i="7"/>
  <c r="AC275" i="7"/>
  <c r="P279" i="7"/>
  <c r="AC279" i="7" s="1"/>
  <c r="AB53" i="7"/>
  <c r="AB59" i="7"/>
  <c r="AB65" i="7"/>
  <c r="AB71" i="7"/>
  <c r="AB77" i="7"/>
  <c r="AB83" i="7"/>
  <c r="AB89" i="7"/>
  <c r="AB95" i="7"/>
  <c r="AB101" i="7"/>
  <c r="AB107" i="7"/>
  <c r="AB113" i="7"/>
  <c r="Z125" i="7"/>
  <c r="AE248" i="7"/>
  <c r="AE376" i="7"/>
  <c r="P273" i="7"/>
  <c r="AC273" i="7" s="1"/>
  <c r="AC269" i="7"/>
  <c r="AD125" i="7"/>
  <c r="AC149" i="7"/>
  <c r="P153" i="7"/>
  <c r="AC155" i="7"/>
  <c r="AC161" i="7"/>
  <c r="AC167" i="7"/>
  <c r="AC173" i="7"/>
  <c r="AC179" i="7"/>
  <c r="AC185" i="7"/>
  <c r="AC191" i="7"/>
  <c r="AC197" i="7"/>
  <c r="AC203" i="7"/>
  <c r="AC209" i="7"/>
  <c r="AC215" i="7"/>
  <c r="AC221" i="7"/>
  <c r="AC227" i="7"/>
  <c r="AC233" i="7"/>
  <c r="N245" i="7"/>
  <c r="AB246" i="7"/>
  <c r="AD248" i="7"/>
  <c r="R377" i="7"/>
  <c r="AE257" i="7"/>
  <c r="AB378" i="7"/>
  <c r="AE379" i="7"/>
  <c r="AB380" i="7"/>
  <c r="M377" i="7"/>
  <c r="Z263" i="7"/>
  <c r="Z380" i="7"/>
  <c r="M279" i="7"/>
  <c r="Z279" i="7" s="1"/>
  <c r="R315" i="7"/>
  <c r="AE315" i="7" s="1"/>
  <c r="AE311" i="7"/>
  <c r="P327" i="7"/>
  <c r="AC327" i="7" s="1"/>
  <c r="AC323" i="7"/>
  <c r="P333" i="7"/>
  <c r="AC333" i="7" s="1"/>
  <c r="AC329" i="7"/>
  <c r="AD149" i="7"/>
  <c r="Q153" i="7"/>
  <c r="AD155" i="7"/>
  <c r="AD161" i="7"/>
  <c r="AD167" i="7"/>
  <c r="AD173" i="7"/>
  <c r="AD179" i="7"/>
  <c r="AD185" i="7"/>
  <c r="AD191" i="7"/>
  <c r="AD197" i="7"/>
  <c r="AD203" i="7"/>
  <c r="AD209" i="7"/>
  <c r="AD215" i="7"/>
  <c r="AD221" i="7"/>
  <c r="AD227" i="7"/>
  <c r="AD233" i="7"/>
  <c r="AC378" i="7"/>
  <c r="AC380" i="7"/>
  <c r="N377" i="7"/>
  <c r="N267" i="7"/>
  <c r="AA263" i="7"/>
  <c r="AE149" i="7"/>
  <c r="R153" i="7"/>
  <c r="AE155" i="7"/>
  <c r="AE161" i="7"/>
  <c r="AE167" i="7"/>
  <c r="AE173" i="7"/>
  <c r="AE179" i="7"/>
  <c r="AE185" i="7"/>
  <c r="AE191" i="7"/>
  <c r="AE197" i="7"/>
  <c r="AE203" i="7"/>
  <c r="AE209" i="7"/>
  <c r="AE215" i="7"/>
  <c r="AE221" i="7"/>
  <c r="AE227" i="7"/>
  <c r="AE233" i="7"/>
  <c r="R243" i="7"/>
  <c r="AE247" i="7"/>
  <c r="AB376" i="7"/>
  <c r="AD378" i="7"/>
  <c r="AB261" i="7"/>
  <c r="AB263" i="7"/>
  <c r="Z378" i="7"/>
  <c r="Z269" i="7"/>
  <c r="AA125" i="7"/>
  <c r="Z149" i="7"/>
  <c r="Z155" i="7"/>
  <c r="Z161" i="7"/>
  <c r="Z167" i="7"/>
  <c r="Z173" i="7"/>
  <c r="Z179" i="7"/>
  <c r="Z185" i="7"/>
  <c r="Z191" i="7"/>
  <c r="Z197" i="7"/>
  <c r="Z203" i="7"/>
  <c r="Z209" i="7"/>
  <c r="Z215" i="7"/>
  <c r="Z221" i="7"/>
  <c r="Z227" i="7"/>
  <c r="Z233" i="7"/>
  <c r="O377" i="7"/>
  <c r="AB257" i="7"/>
  <c r="AE378" i="7"/>
  <c r="AB379" i="7"/>
  <c r="AE380" i="7"/>
  <c r="Z376" i="7"/>
  <c r="AB269" i="7"/>
  <c r="AB275" i="7"/>
  <c r="AD287" i="7"/>
  <c r="AD335" i="7"/>
  <c r="AA149" i="7"/>
  <c r="AA155" i="7"/>
  <c r="AA161" i="7"/>
  <c r="AA167" i="7"/>
  <c r="AA173" i="7"/>
  <c r="AA179" i="7"/>
  <c r="AA185" i="7"/>
  <c r="AA191" i="7"/>
  <c r="AA197" i="7"/>
  <c r="AA203" i="7"/>
  <c r="AA209" i="7"/>
  <c r="AA215" i="7"/>
  <c r="AA221" i="7"/>
  <c r="AA227" i="7"/>
  <c r="AA233" i="7"/>
  <c r="P377" i="7"/>
  <c r="AC257" i="7"/>
  <c r="Q267" i="7"/>
  <c r="AD267" i="7" s="1"/>
  <c r="AD263" i="7"/>
  <c r="Z379" i="7"/>
  <c r="AA269" i="7"/>
  <c r="AA275" i="7"/>
  <c r="AE287" i="7"/>
  <c r="AE293" i="7"/>
  <c r="N303" i="7"/>
  <c r="AA303" i="7" s="1"/>
  <c r="O315" i="7"/>
  <c r="AB315" i="7" s="1"/>
  <c r="M327" i="7"/>
  <c r="Z327" i="7" s="1"/>
  <c r="M333" i="7"/>
  <c r="Z333" i="7" s="1"/>
  <c r="AE335" i="7"/>
  <c r="M339" i="7"/>
  <c r="Z339" i="7" s="1"/>
  <c r="Z341" i="7"/>
  <c r="M527" i="7"/>
  <c r="M405" i="7"/>
  <c r="Z401" i="7"/>
  <c r="P447" i="7"/>
  <c r="AC447" i="7" s="1"/>
  <c r="AC443" i="7"/>
  <c r="Z287" i="7"/>
  <c r="Z293" i="7"/>
  <c r="O303" i="7"/>
  <c r="AB303" i="7" s="1"/>
  <c r="N339" i="7"/>
  <c r="AA339" i="7" s="1"/>
  <c r="AA341" i="7"/>
  <c r="AA347" i="7"/>
  <c r="AA287" i="7"/>
  <c r="AA293" i="7"/>
  <c r="AB341" i="7"/>
  <c r="M357" i="7"/>
  <c r="Z357" i="7" s="1"/>
  <c r="AB405" i="7"/>
  <c r="AC403" i="7"/>
  <c r="AC529" i="7" s="1"/>
  <c r="AA378" i="7"/>
  <c r="AD269" i="7"/>
  <c r="AD275" i="7"/>
  <c r="AB287" i="7"/>
  <c r="AB293" i="7"/>
  <c r="Q303" i="7"/>
  <c r="AD303" i="7" s="1"/>
  <c r="P339" i="7"/>
  <c r="AC339" i="7" s="1"/>
  <c r="AC341" i="7"/>
  <c r="AC347" i="7"/>
  <c r="AC287" i="7"/>
  <c r="AC293" i="7"/>
  <c r="AE341" i="7"/>
  <c r="AE347" i="7"/>
  <c r="AE353" i="7"/>
  <c r="AB526" i="7"/>
  <c r="AB528" i="7"/>
  <c r="AB529" i="7"/>
  <c r="AE530" i="7"/>
  <c r="AA407" i="7"/>
  <c r="M447" i="7"/>
  <c r="Z447" i="7" s="1"/>
  <c r="AE449" i="7"/>
  <c r="AE455" i="7"/>
  <c r="AA353" i="7"/>
  <c r="AA401" i="7"/>
  <c r="AD528" i="7"/>
  <c r="AD403" i="7"/>
  <c r="Q405" i="7"/>
  <c r="AC407" i="7"/>
  <c r="AC467" i="7"/>
  <c r="AB353" i="7"/>
  <c r="AE526" i="7"/>
  <c r="O527" i="7"/>
  <c r="AB401" i="7"/>
  <c r="AE528" i="7"/>
  <c r="AE403" i="7"/>
  <c r="R405" i="7"/>
  <c r="AD407" i="7"/>
  <c r="AB419" i="7"/>
  <c r="AB437" i="7"/>
  <c r="R525" i="7"/>
  <c r="AC353" i="7"/>
  <c r="Z526" i="7"/>
  <c r="P527" i="7"/>
  <c r="AC401" i="7"/>
  <c r="AC530" i="7"/>
  <c r="AE407" i="7"/>
  <c r="AE419" i="7"/>
  <c r="R573" i="7"/>
  <c r="AE573" i="7" s="1"/>
  <c r="AE569" i="7"/>
  <c r="AD341" i="7"/>
  <c r="AD347" i="7"/>
  <c r="AD353" i="7"/>
  <c r="AA526" i="7"/>
  <c r="AD401" i="7"/>
  <c r="AA528" i="7"/>
  <c r="N405" i="7"/>
  <c r="Z407" i="7"/>
  <c r="AB479" i="7"/>
  <c r="O483" i="7"/>
  <c r="AB483" i="7" s="1"/>
  <c r="AC419" i="7"/>
  <c r="AA443" i="7"/>
  <c r="Z449" i="7"/>
  <c r="Z455" i="7"/>
  <c r="AE461" i="7"/>
  <c r="AD467" i="7"/>
  <c r="AC473" i="7"/>
  <c r="AC485" i="7"/>
  <c r="M489" i="7"/>
  <c r="Z489" i="7" s="1"/>
  <c r="R579" i="7"/>
  <c r="AE579" i="7" s="1"/>
  <c r="AE575" i="7"/>
  <c r="AD419" i="7"/>
  <c r="P441" i="7"/>
  <c r="AC441" i="7" s="1"/>
  <c r="AB443" i="7"/>
  <c r="AA449" i="7"/>
  <c r="AA455" i="7"/>
  <c r="Z461" i="7"/>
  <c r="AE467" i="7"/>
  <c r="AD473" i="7"/>
  <c r="AE479" i="7"/>
  <c r="AD485" i="7"/>
  <c r="N489" i="7"/>
  <c r="AA489" i="7" s="1"/>
  <c r="AE491" i="7"/>
  <c r="Z497" i="7"/>
  <c r="R585" i="7"/>
  <c r="AE585" i="7" s="1"/>
  <c r="AE581" i="7"/>
  <c r="AB449" i="7"/>
  <c r="AB455" i="7"/>
  <c r="AA461" i="7"/>
  <c r="Z467" i="7"/>
  <c r="AE473" i="7"/>
  <c r="AB503" i="7"/>
  <c r="R591" i="7"/>
  <c r="AE591" i="7" s="1"/>
  <c r="AE587" i="7"/>
  <c r="Z419" i="7"/>
  <c r="AD443" i="7"/>
  <c r="AC449" i="7"/>
  <c r="AC455" i="7"/>
  <c r="AB461" i="7"/>
  <c r="AA467" i="7"/>
  <c r="Z473" i="7"/>
  <c r="AE557" i="7"/>
  <c r="R561" i="7"/>
  <c r="AE561" i="7" s="1"/>
  <c r="R597" i="7"/>
  <c r="AE597" i="7" s="1"/>
  <c r="AE593" i="7"/>
  <c r="AA419" i="7"/>
  <c r="AE443" i="7"/>
  <c r="AD449" i="7"/>
  <c r="AD455" i="7"/>
  <c r="AC461" i="7"/>
  <c r="AB467" i="7"/>
  <c r="AA473" i="7"/>
  <c r="Z491" i="7"/>
  <c r="AB491" i="7"/>
  <c r="AB497" i="7"/>
  <c r="R507" i="7"/>
  <c r="AE507" i="7" s="1"/>
  <c r="Z515" i="7"/>
  <c r="Q623" i="7"/>
  <c r="AD557" i="7"/>
  <c r="Q561" i="7"/>
  <c r="AD561" i="7" s="1"/>
  <c r="AE563" i="7"/>
  <c r="P657" i="7"/>
  <c r="AC657" i="7" s="1"/>
  <c r="AC653" i="7"/>
  <c r="AC671" i="7" s="1"/>
  <c r="Z479" i="7"/>
  <c r="AE485" i="7"/>
  <c r="AD491" i="7"/>
  <c r="AD497" i="7"/>
  <c r="AB515" i="7"/>
  <c r="M623" i="7"/>
  <c r="Z539" i="7"/>
  <c r="Z541" i="7"/>
  <c r="Z625" i="7" s="1"/>
  <c r="AA626" i="7"/>
  <c r="M543" i="7"/>
  <c r="M549" i="7"/>
  <c r="Z549" i="7" s="1"/>
  <c r="M555" i="7"/>
  <c r="Z555" i="7" s="1"/>
  <c r="AC605" i="7"/>
  <c r="P609" i="7"/>
  <c r="AC609" i="7" s="1"/>
  <c r="AE497" i="7"/>
  <c r="AC515" i="7"/>
  <c r="AA539" i="7"/>
  <c r="AA541" i="7"/>
  <c r="AA625" i="7" s="1"/>
  <c r="N543" i="7"/>
  <c r="M651" i="7"/>
  <c r="M671" i="7"/>
  <c r="Z647" i="7"/>
  <c r="R671" i="7"/>
  <c r="R669" i="7"/>
  <c r="AE669" i="7"/>
  <c r="AC622" i="7"/>
  <c r="AC624" i="7"/>
  <c r="P543" i="7"/>
  <c r="AD622" i="7"/>
  <c r="AD624" i="7"/>
  <c r="AD626" i="7"/>
  <c r="Z659" i="7"/>
  <c r="AE622" i="7"/>
  <c r="AB539" i="7"/>
  <c r="AB541" i="7"/>
  <c r="O543" i="7"/>
  <c r="AB545" i="7"/>
  <c r="AB551" i="7"/>
  <c r="Z563" i="7"/>
  <c r="Z569" i="7"/>
  <c r="Z575" i="7"/>
  <c r="Z581" i="7"/>
  <c r="Z587" i="7"/>
  <c r="Z593" i="7"/>
  <c r="AB670" i="7"/>
  <c r="AA563" i="7"/>
  <c r="AA569" i="7"/>
  <c r="AA575" i="7"/>
  <c r="AA581" i="7"/>
  <c r="AA587" i="7"/>
  <c r="AA593" i="7"/>
  <c r="AA622" i="7"/>
  <c r="AD539" i="7"/>
  <c r="AA624" i="7"/>
  <c r="AD541" i="7"/>
  <c r="Q543" i="7"/>
  <c r="AD545" i="7"/>
  <c r="AD551" i="7"/>
  <c r="AB563" i="7"/>
  <c r="AB569" i="7"/>
  <c r="AB575" i="7"/>
  <c r="AB581" i="7"/>
  <c r="AB587" i="7"/>
  <c r="AB593" i="7"/>
  <c r="AD674" i="7"/>
  <c r="AB622" i="7"/>
  <c r="R623" i="7"/>
  <c r="AE539" i="7"/>
  <c r="AB624" i="7"/>
  <c r="AE541" i="7"/>
  <c r="AB626" i="7"/>
  <c r="R543" i="7"/>
  <c r="AE545" i="7"/>
  <c r="AE551" i="7"/>
  <c r="AC563" i="7"/>
  <c r="AC569" i="7"/>
  <c r="AC575" i="7"/>
  <c r="AC581" i="7"/>
  <c r="AC587" i="7"/>
  <c r="AC593" i="7"/>
  <c r="AD671" i="7"/>
  <c r="AD699" i="7"/>
  <c r="AD702" i="7"/>
  <c r="AD569" i="7"/>
  <c r="AD575" i="7"/>
  <c r="AD581" i="7"/>
  <c r="AD587" i="7"/>
  <c r="AD593" i="7"/>
  <c r="AE671" i="7"/>
  <c r="P671" i="7"/>
  <c r="P669" i="7"/>
  <c r="AB599" i="7"/>
  <c r="AE605" i="7"/>
  <c r="AD611" i="7"/>
  <c r="P651" i="7"/>
  <c r="AC651" i="7" s="1"/>
  <c r="M657" i="7"/>
  <c r="Z657" i="7" s="1"/>
  <c r="AA659" i="7"/>
  <c r="AA671" i="7" s="1"/>
  <c r="P663" i="7"/>
  <c r="AC663" i="7" s="1"/>
  <c r="AB672" i="7"/>
  <c r="AE611" i="7"/>
  <c r="Q651" i="7"/>
  <c r="AD651" i="7" s="1"/>
  <c r="N657" i="7"/>
  <c r="AA657" i="7" s="1"/>
  <c r="AA675" i="7" s="1"/>
  <c r="AB659" i="7"/>
  <c r="Q663" i="7"/>
  <c r="AD663" i="7" s="1"/>
  <c r="Q669" i="7"/>
  <c r="AD669" i="7"/>
  <c r="AB699" i="7"/>
  <c r="AD599" i="7"/>
  <c r="AA605" i="7"/>
  <c r="Z611" i="7"/>
  <c r="R651" i="7"/>
  <c r="AE651" i="7" s="1"/>
  <c r="O657" i="7"/>
  <c r="AB657" i="7" s="1"/>
  <c r="R663" i="7"/>
  <c r="AE663" i="7" s="1"/>
  <c r="AB702" i="7"/>
  <c r="AE599" i="7"/>
  <c r="AA611" i="7"/>
  <c r="Z599" i="7"/>
  <c r="AB611" i="7"/>
  <c r="F5" i="2"/>
  <c r="ET14" i="1"/>
  <c r="ET15" i="1"/>
  <c r="ET16" i="1"/>
  <c r="ET17" i="1"/>
  <c r="ET13" i="1"/>
  <c r="ER10" i="2"/>
  <c r="ER76" i="2"/>
  <c r="ER71" i="2"/>
  <c r="ER70" i="2"/>
  <c r="ER69" i="2"/>
  <c r="ER68" i="2"/>
  <c r="ER67" i="2"/>
  <c r="ER66" i="2"/>
  <c r="ER63" i="2"/>
  <c r="ER62" i="2"/>
  <c r="ER60" i="2"/>
  <c r="ER56" i="2"/>
  <c r="ER55" i="2"/>
  <c r="ER48" i="2"/>
  <c r="ER41" i="2"/>
  <c r="ER35" i="2"/>
  <c r="ER34" i="2"/>
  <c r="ER28" i="2"/>
  <c r="ER27" i="2"/>
  <c r="ER25" i="2"/>
  <c r="ER21" i="2"/>
  <c r="ER20" i="2"/>
  <c r="ER13" i="2"/>
  <c r="ER14" i="2"/>
  <c r="ER17" i="2"/>
  <c r="ER18" i="2"/>
  <c r="ER31" i="2"/>
  <c r="ER32" i="2"/>
  <c r="ER38" i="2"/>
  <c r="ER39" i="2"/>
  <c r="ER42" i="2"/>
  <c r="ER45" i="2"/>
  <c r="ER46" i="2"/>
  <c r="ER49" i="2"/>
  <c r="ER52" i="2"/>
  <c r="ER59" i="2"/>
  <c r="ER73" i="2"/>
  <c r="ER74" i="2"/>
  <c r="ER77" i="2"/>
  <c r="DM17" i="1"/>
  <c r="DH24" i="2"/>
  <c r="DK24" i="2" s="1"/>
  <c r="ER24" i="2" l="1"/>
  <c r="Z381" i="7"/>
  <c r="N675" i="7"/>
  <c r="Z671" i="7"/>
  <c r="P531" i="7"/>
  <c r="AC675" i="7"/>
  <c r="AC623" i="7"/>
  <c r="AE675" i="7"/>
  <c r="R531" i="7"/>
  <c r="AE405" i="7"/>
  <c r="R627" i="7"/>
  <c r="AE543" i="7"/>
  <c r="AE623" i="7"/>
  <c r="AD623" i="7"/>
  <c r="AB671" i="7"/>
  <c r="AB623" i="7"/>
  <c r="Z651" i="7"/>
  <c r="Z675" i="7" s="1"/>
  <c r="M675" i="7"/>
  <c r="AD527" i="7"/>
  <c r="M531" i="7"/>
  <c r="Z405" i="7"/>
  <c r="Z531" i="7" s="1"/>
  <c r="AC377" i="7"/>
  <c r="AB377" i="7"/>
  <c r="AD153" i="7"/>
  <c r="Q249" i="7"/>
  <c r="Z377" i="7"/>
  <c r="AB249" i="7"/>
  <c r="Q141" i="7"/>
  <c r="AD21" i="7"/>
  <c r="N141" i="7"/>
  <c r="AA21" i="7"/>
  <c r="AA141" i="7" s="1"/>
  <c r="AB137" i="7"/>
  <c r="AA527" i="7"/>
  <c r="AE527" i="7"/>
  <c r="M381" i="7"/>
  <c r="AE377" i="7"/>
  <c r="AD139" i="7"/>
  <c r="AC381" i="7"/>
  <c r="N627" i="7"/>
  <c r="AA543" i="7"/>
  <c r="AA627" i="7" s="1"/>
  <c r="P675" i="7"/>
  <c r="O675" i="7"/>
  <c r="P627" i="7"/>
  <c r="AC543" i="7"/>
  <c r="AC627" i="7" s="1"/>
  <c r="R675" i="7"/>
  <c r="M627" i="7"/>
  <c r="Z543" i="7"/>
  <c r="Z627" i="7" s="1"/>
  <c r="N531" i="7"/>
  <c r="AA405" i="7"/>
  <c r="AA531" i="7" s="1"/>
  <c r="AE153" i="7"/>
  <c r="R249" i="7"/>
  <c r="AD245" i="7"/>
  <c r="P249" i="7"/>
  <c r="AC153" i="7"/>
  <c r="AC249" i="7" s="1"/>
  <c r="AE381" i="7"/>
  <c r="AB245" i="7"/>
  <c r="O249" i="7"/>
  <c r="AD137" i="7"/>
  <c r="P141" i="7"/>
  <c r="AC21" i="7"/>
  <c r="AC141" i="7" s="1"/>
  <c r="P381" i="7"/>
  <c r="M141" i="7"/>
  <c r="Z21" i="7"/>
  <c r="Z141" i="7" s="1"/>
  <c r="AB675" i="7"/>
  <c r="Q675" i="7"/>
  <c r="AB543" i="7"/>
  <c r="O627" i="7"/>
  <c r="AE529" i="7"/>
  <c r="AE625" i="7"/>
  <c r="Q627" i="7"/>
  <c r="AD543" i="7"/>
  <c r="AA623" i="7"/>
  <c r="AC527" i="7"/>
  <c r="AB531" i="7"/>
  <c r="AC245" i="7"/>
  <c r="R381" i="7"/>
  <c r="O141" i="7"/>
  <c r="AB21" i="7"/>
  <c r="AA137" i="7"/>
  <c r="AB527" i="7"/>
  <c r="Q531" i="7"/>
  <c r="AD405" i="7"/>
  <c r="O531" i="7"/>
  <c r="Z245" i="7"/>
  <c r="AB381" i="7"/>
  <c r="AE245" i="7"/>
  <c r="AA377" i="7"/>
  <c r="R141" i="7"/>
  <c r="AE21" i="7"/>
  <c r="Q381" i="7"/>
  <c r="AD261" i="7"/>
  <c r="Z137" i="7"/>
  <c r="AE137" i="7"/>
  <c r="AD675" i="7"/>
  <c r="AD625" i="7"/>
  <c r="AB625" i="7"/>
  <c r="Z623" i="7"/>
  <c r="AD529" i="7"/>
  <c r="Z527" i="7"/>
  <c r="AA245" i="7"/>
  <c r="O381" i="7"/>
  <c r="N381" i="7"/>
  <c r="AA267" i="7"/>
  <c r="AA381" i="7" s="1"/>
  <c r="AC137" i="7"/>
  <c r="AE139" i="7"/>
  <c r="AD377" i="7"/>
  <c r="DN16" i="2"/>
  <c r="DN80" i="2"/>
  <c r="AB141" i="7" l="1"/>
  <c r="AE141" i="7"/>
  <c r="AD627" i="7"/>
  <c r="AE531" i="7"/>
  <c r="AD249" i="7"/>
  <c r="AE627" i="7"/>
  <c r="AE249" i="7"/>
  <c r="AD531" i="7"/>
  <c r="AB627" i="7"/>
  <c r="AD381" i="7"/>
  <c r="AD141" i="7"/>
  <c r="DM77" i="2"/>
  <c r="S24" i="3"/>
  <c r="DG75" i="2" l="1"/>
  <c r="ER75" i="2" s="1"/>
  <c r="DG61" i="2"/>
  <c r="ER61" i="2" s="1"/>
  <c r="DG54" i="2"/>
  <c r="ER54" i="2" s="1"/>
  <c r="DG47" i="2"/>
  <c r="ER47" i="2" s="1"/>
  <c r="DG40" i="2"/>
  <c r="ER40" i="2" s="1"/>
  <c r="DG33" i="2"/>
  <c r="ER33" i="2" s="1"/>
  <c r="DG26" i="2"/>
  <c r="ER26" i="2" s="1"/>
  <c r="DG19" i="2"/>
  <c r="DG12" i="2"/>
  <c r="ER12" i="2" s="1"/>
  <c r="DI12" i="2"/>
  <c r="DI10" i="2"/>
  <c r="DK59" i="2"/>
  <c r="DK53" i="2"/>
  <c r="DK61" i="2"/>
  <c r="DM59" i="2"/>
  <c r="DK60" i="2"/>
  <c r="DK62" i="2"/>
  <c r="DK63" i="2"/>
  <c r="DI19" i="2" l="1"/>
  <c r="ER19" i="2"/>
  <c r="DK52" i="2"/>
  <c r="G1052" i="5" l="1"/>
  <c r="G1051" i="5"/>
  <c r="G1050" i="5"/>
  <c r="G1049" i="5"/>
  <c r="G1048" i="5"/>
  <c r="G1047" i="5"/>
  <c r="G1046" i="5"/>
  <c r="G1045" i="5"/>
  <c r="G1044" i="5"/>
  <c r="G1043" i="5"/>
  <c r="G1042" i="5"/>
  <c r="G1041" i="5"/>
  <c r="G1038" i="5"/>
  <c r="G1037" i="5"/>
  <c r="G1036" i="5"/>
  <c r="G1035" i="5"/>
  <c r="G1034" i="5"/>
  <c r="G1033" i="5"/>
  <c r="G1032" i="5"/>
  <c r="G1031" i="5"/>
  <c r="G1030" i="5"/>
  <c r="G1029" i="5"/>
  <c r="G1028" i="5"/>
  <c r="G1027" i="5"/>
  <c r="G1026" i="5"/>
  <c r="G1025" i="5"/>
  <c r="G1024" i="5"/>
  <c r="G1023" i="5"/>
  <c r="G1022" i="5"/>
  <c r="G1021" i="5"/>
  <c r="G1020" i="5"/>
  <c r="G1019" i="5"/>
  <c r="G1018" i="5"/>
  <c r="G1017" i="5"/>
  <c r="G1016" i="5"/>
  <c r="G1015" i="5"/>
  <c r="G1014" i="5"/>
  <c r="G1013" i="5"/>
  <c r="G1012" i="5"/>
  <c r="G1011" i="5"/>
  <c r="G1010" i="5"/>
  <c r="G1009" i="5"/>
  <c r="G1008" i="5"/>
  <c r="G1007" i="5"/>
  <c r="G1006" i="5"/>
  <c r="G1005" i="5"/>
  <c r="G1004" i="5"/>
  <c r="G1003" i="5"/>
  <c r="G1002" i="5"/>
  <c r="G1001" i="5"/>
  <c r="G1000" i="5"/>
  <c r="G999" i="5"/>
  <c r="G998" i="5"/>
  <c r="G997" i="5"/>
  <c r="G996" i="5"/>
  <c r="G995" i="5"/>
  <c r="G994" i="5"/>
  <c r="G993" i="5"/>
  <c r="G992" i="5"/>
  <c r="G991" i="5"/>
  <c r="G990" i="5"/>
  <c r="G989" i="5"/>
  <c r="G988" i="5"/>
  <c r="G987" i="5"/>
  <c r="G986" i="5"/>
  <c r="G985" i="5"/>
  <c r="G984" i="5"/>
  <c r="G983" i="5"/>
  <c r="G982" i="5"/>
  <c r="G981" i="5"/>
  <c r="G980" i="5"/>
  <c r="G979" i="5"/>
  <c r="G975" i="5"/>
  <c r="G974" i="5"/>
  <c r="G973" i="5"/>
  <c r="G972" i="5"/>
  <c r="G971" i="5"/>
  <c r="G970" i="5"/>
  <c r="G969" i="5"/>
  <c r="G968" i="5"/>
  <c r="G967" i="5"/>
  <c r="G966" i="5"/>
  <c r="G965" i="5"/>
  <c r="G964" i="5"/>
  <c r="G963" i="5"/>
  <c r="G962" i="5"/>
  <c r="G961" i="5"/>
  <c r="G960" i="5"/>
  <c r="G959" i="5"/>
  <c r="G958" i="5"/>
  <c r="G957" i="5"/>
  <c r="G956" i="5"/>
  <c r="G955" i="5"/>
  <c r="G954" i="5"/>
  <c r="G953" i="5"/>
  <c r="G952" i="5"/>
  <c r="G951" i="5"/>
  <c r="G950" i="5"/>
  <c r="G949" i="5"/>
  <c r="G948" i="5"/>
  <c r="G947" i="5"/>
  <c r="G946" i="5"/>
  <c r="G945" i="5"/>
  <c r="G944" i="5"/>
  <c r="G943" i="5"/>
  <c r="G942" i="5"/>
  <c r="G941" i="5"/>
  <c r="G940" i="5"/>
  <c r="G939" i="5"/>
  <c r="G938" i="5"/>
  <c r="G937" i="5"/>
  <c r="G936" i="5"/>
  <c r="G935" i="5"/>
  <c r="G934" i="5"/>
  <c r="G933" i="5"/>
  <c r="G932" i="5"/>
  <c r="G931" i="5"/>
  <c r="G930" i="5"/>
  <c r="G929" i="5"/>
  <c r="G928" i="5"/>
  <c r="G927" i="5"/>
  <c r="G926" i="5"/>
  <c r="G925" i="5"/>
  <c r="G924" i="5"/>
  <c r="G923" i="5"/>
  <c r="G922" i="5"/>
  <c r="G921" i="5"/>
  <c r="G917" i="5"/>
  <c r="G916" i="5"/>
  <c r="G915" i="5"/>
  <c r="G914" i="5"/>
  <c r="G913" i="5"/>
  <c r="G912" i="5"/>
  <c r="G911" i="5"/>
  <c r="G910" i="5"/>
  <c r="G909" i="5"/>
  <c r="G908" i="5"/>
  <c r="G907" i="5"/>
  <c r="G906" i="5"/>
  <c r="G905" i="5"/>
  <c r="G904" i="5"/>
  <c r="G903" i="5"/>
  <c r="G902" i="5"/>
  <c r="G901" i="5"/>
  <c r="G900" i="5"/>
  <c r="G899" i="5"/>
  <c r="G898" i="5"/>
  <c r="G897" i="5"/>
  <c r="G896" i="5"/>
  <c r="G895" i="5"/>
  <c r="G894" i="5"/>
  <c r="G893" i="5"/>
  <c r="G892" i="5"/>
  <c r="G891" i="5"/>
  <c r="G890" i="5"/>
  <c r="G889" i="5"/>
  <c r="G888" i="5"/>
  <c r="G887" i="5"/>
  <c r="G886" i="5"/>
  <c r="G885" i="5"/>
  <c r="G884" i="5"/>
  <c r="G883" i="5"/>
  <c r="G882" i="5"/>
  <c r="G881" i="5"/>
  <c r="G880" i="5"/>
  <c r="G879" i="5"/>
  <c r="G878" i="5"/>
  <c r="G877" i="5"/>
  <c r="G876" i="5"/>
  <c r="G875" i="5"/>
  <c r="G874" i="5"/>
  <c r="G873" i="5"/>
  <c r="G872" i="5"/>
  <c r="G871" i="5"/>
  <c r="G870" i="5"/>
  <c r="G869" i="5"/>
  <c r="G868" i="5"/>
  <c r="G867" i="5"/>
  <c r="G866" i="5"/>
  <c r="G865" i="5"/>
  <c r="G864" i="5"/>
  <c r="G863" i="5"/>
  <c r="G862" i="5"/>
  <c r="G861" i="5"/>
  <c r="G860" i="5"/>
  <c r="G859" i="5"/>
  <c r="G858" i="5"/>
  <c r="G857" i="5"/>
  <c r="G856" i="5"/>
  <c r="G852" i="5"/>
  <c r="G851" i="5"/>
  <c r="G850" i="5"/>
  <c r="G849" i="5"/>
  <c r="G848" i="5"/>
  <c r="G847" i="5"/>
  <c r="G846" i="5"/>
  <c r="G845" i="5"/>
  <c r="M257" i="5"/>
  <c r="J257" i="5"/>
  <c r="M256" i="5"/>
  <c r="J256" i="5"/>
  <c r="M255" i="5"/>
  <c r="J255" i="5"/>
  <c r="M254" i="5"/>
  <c r="J254" i="5"/>
  <c r="M253" i="5"/>
  <c r="J253" i="5"/>
  <c r="M252" i="5"/>
  <c r="J252" i="5"/>
  <c r="M251" i="5"/>
  <c r="J251" i="5"/>
  <c r="M250" i="5"/>
  <c r="J250" i="5"/>
  <c r="M249" i="5"/>
  <c r="J249" i="5"/>
  <c r="M248" i="5"/>
  <c r="J248" i="5"/>
  <c r="M247" i="5"/>
  <c r="J247" i="5"/>
  <c r="M246" i="5"/>
  <c r="J246" i="5"/>
  <c r="M243" i="5"/>
  <c r="J243" i="5"/>
  <c r="M242" i="5"/>
  <c r="J242" i="5"/>
  <c r="M241" i="5"/>
  <c r="J241" i="5"/>
  <c r="M240" i="5"/>
  <c r="J240" i="5"/>
  <c r="M239" i="5"/>
  <c r="J239" i="5"/>
  <c r="M238" i="5"/>
  <c r="J238" i="5"/>
  <c r="M237" i="5"/>
  <c r="J237" i="5"/>
  <c r="M236" i="5"/>
  <c r="J236" i="5"/>
  <c r="M235" i="5"/>
  <c r="J235" i="5"/>
  <c r="M234" i="5"/>
  <c r="J234" i="5"/>
  <c r="M233" i="5"/>
  <c r="J233" i="5"/>
  <c r="M232" i="5"/>
  <c r="J232" i="5"/>
  <c r="M231" i="5"/>
  <c r="J231" i="5"/>
  <c r="M230" i="5"/>
  <c r="J230" i="5"/>
  <c r="M229" i="5"/>
  <c r="J229" i="5"/>
  <c r="M228" i="5"/>
  <c r="J228" i="5"/>
  <c r="M227" i="5"/>
  <c r="J227" i="5"/>
  <c r="M226" i="5"/>
  <c r="J226" i="5"/>
  <c r="M225" i="5"/>
  <c r="J225" i="5"/>
  <c r="M224" i="5"/>
  <c r="J224" i="5"/>
  <c r="M223" i="5"/>
  <c r="J223" i="5"/>
  <c r="M222" i="5"/>
  <c r="J222" i="5"/>
  <c r="M221" i="5"/>
  <c r="J221" i="5"/>
  <c r="M220" i="5"/>
  <c r="J220" i="5"/>
  <c r="M219" i="5"/>
  <c r="J219" i="5"/>
  <c r="M218" i="5"/>
  <c r="J218" i="5"/>
  <c r="M217" i="5"/>
  <c r="J217" i="5"/>
  <c r="M216" i="5"/>
  <c r="J216" i="5"/>
  <c r="M215" i="5"/>
  <c r="J215" i="5"/>
  <c r="M214" i="5"/>
  <c r="J214" i="5"/>
  <c r="M213" i="5"/>
  <c r="J213" i="5"/>
  <c r="M212" i="5"/>
  <c r="J212" i="5"/>
  <c r="M211" i="5"/>
  <c r="J211" i="5"/>
  <c r="M210" i="5"/>
  <c r="J210" i="5"/>
  <c r="M209" i="5"/>
  <c r="J209" i="5"/>
  <c r="M208" i="5"/>
  <c r="J208" i="5"/>
  <c r="M207" i="5"/>
  <c r="J207" i="5"/>
  <c r="M206" i="5"/>
  <c r="J206" i="5"/>
  <c r="M205" i="5"/>
  <c r="J205" i="5"/>
  <c r="M204" i="5"/>
  <c r="J204" i="5"/>
  <c r="M203" i="5"/>
  <c r="J203" i="5"/>
  <c r="M202" i="5"/>
  <c r="J202" i="5"/>
  <c r="M201" i="5"/>
  <c r="J201" i="5"/>
  <c r="M200" i="5"/>
  <c r="J200" i="5"/>
  <c r="M199" i="5"/>
  <c r="J199" i="5"/>
  <c r="M198" i="5"/>
  <c r="J198" i="5"/>
  <c r="M197" i="5"/>
  <c r="J197" i="5"/>
  <c r="M196" i="5"/>
  <c r="J196" i="5"/>
  <c r="M192" i="5"/>
  <c r="J192" i="5"/>
  <c r="M191" i="5"/>
  <c r="J191" i="5"/>
  <c r="M190" i="5"/>
  <c r="J190" i="5"/>
  <c r="J189" i="5"/>
  <c r="M188" i="5"/>
  <c r="J188" i="5"/>
  <c r="M187" i="5"/>
  <c r="J187" i="5"/>
  <c r="M186" i="5"/>
  <c r="J186" i="5"/>
  <c r="J185" i="5"/>
  <c r="M184" i="5"/>
  <c r="J184" i="5"/>
  <c r="M183" i="5"/>
  <c r="J183" i="5"/>
  <c r="M182" i="5"/>
  <c r="J182" i="5"/>
  <c r="J181" i="5"/>
  <c r="M180" i="5"/>
  <c r="J180" i="5"/>
  <c r="M179" i="5"/>
  <c r="J179" i="5"/>
  <c r="M178" i="5"/>
  <c r="J178" i="5"/>
  <c r="J177" i="5"/>
  <c r="M176" i="5"/>
  <c r="J176" i="5"/>
  <c r="M175" i="5"/>
  <c r="J175" i="5"/>
  <c r="M174" i="5"/>
  <c r="J174" i="5"/>
  <c r="M172" i="5"/>
  <c r="J172" i="5"/>
  <c r="M171" i="5"/>
  <c r="J171" i="5"/>
  <c r="M170" i="5"/>
  <c r="J170" i="5"/>
  <c r="M168" i="5"/>
  <c r="J168" i="5"/>
  <c r="M167" i="5"/>
  <c r="J167" i="5"/>
  <c r="M166" i="5"/>
  <c r="J166" i="5"/>
  <c r="M164" i="5"/>
  <c r="J164" i="5"/>
  <c r="M163" i="5"/>
  <c r="J163" i="5"/>
  <c r="M162" i="5"/>
  <c r="J162" i="5"/>
  <c r="M160" i="5"/>
  <c r="J160" i="5"/>
  <c r="M159" i="5"/>
  <c r="J159" i="5"/>
  <c r="M158" i="5"/>
  <c r="J158" i="5"/>
  <c r="M156" i="5"/>
  <c r="J156" i="5"/>
  <c r="M155" i="5"/>
  <c r="J155" i="5"/>
  <c r="M154" i="5"/>
  <c r="J154" i="5"/>
  <c r="M152" i="5"/>
  <c r="J152" i="5"/>
  <c r="M151" i="5"/>
  <c r="J151" i="5"/>
  <c r="M150" i="5"/>
  <c r="J150" i="5"/>
  <c r="M149" i="5"/>
  <c r="J149" i="5"/>
  <c r="M145" i="5"/>
  <c r="J145" i="5"/>
  <c r="M144" i="5"/>
  <c r="J144" i="5"/>
  <c r="M143" i="5"/>
  <c r="J143" i="5"/>
  <c r="M142" i="5"/>
  <c r="J142" i="5"/>
  <c r="M141" i="5"/>
  <c r="J141" i="5"/>
  <c r="M140" i="5"/>
  <c r="J140" i="5"/>
  <c r="M139" i="5"/>
  <c r="J139" i="5"/>
  <c r="M138" i="5"/>
  <c r="J138" i="5"/>
  <c r="M137" i="5"/>
  <c r="J137" i="5"/>
  <c r="M136" i="5"/>
  <c r="J136" i="5"/>
  <c r="M135" i="5"/>
  <c r="J135" i="5"/>
  <c r="M134" i="5"/>
  <c r="J134" i="5"/>
  <c r="M133" i="5"/>
  <c r="J133" i="5"/>
  <c r="M132" i="5"/>
  <c r="J132" i="5"/>
  <c r="M131" i="5"/>
  <c r="J131" i="5"/>
  <c r="M130" i="5"/>
  <c r="J130" i="5"/>
  <c r="M129" i="5"/>
  <c r="J129" i="5"/>
  <c r="M128" i="5"/>
  <c r="J128" i="5"/>
  <c r="M127" i="5"/>
  <c r="J127" i="5"/>
  <c r="M126" i="5"/>
  <c r="J126" i="5"/>
  <c r="M125" i="5"/>
  <c r="J125" i="5"/>
  <c r="M124" i="5"/>
  <c r="J124" i="5"/>
  <c r="M123" i="5"/>
  <c r="J123" i="5"/>
  <c r="M122" i="5"/>
  <c r="J122" i="5"/>
  <c r="M121" i="5"/>
  <c r="J121" i="5"/>
  <c r="M120" i="5"/>
  <c r="J120" i="5"/>
  <c r="M119" i="5"/>
  <c r="J119" i="5"/>
  <c r="M118" i="5"/>
  <c r="J118" i="5"/>
  <c r="M117" i="5"/>
  <c r="J117" i="5"/>
  <c r="M116" i="5"/>
  <c r="J116" i="5"/>
  <c r="M115" i="5"/>
  <c r="J115" i="5"/>
  <c r="M114" i="5"/>
  <c r="J114" i="5"/>
  <c r="M113" i="5"/>
  <c r="J113" i="5"/>
  <c r="M112" i="5"/>
  <c r="J112" i="5"/>
  <c r="M111" i="5"/>
  <c r="J111" i="5"/>
  <c r="M110" i="5"/>
  <c r="J110" i="5"/>
  <c r="M109" i="5"/>
  <c r="J109" i="5"/>
  <c r="M108" i="5"/>
  <c r="J108" i="5"/>
  <c r="M107" i="5"/>
  <c r="J107" i="5"/>
  <c r="M106" i="5"/>
  <c r="J106" i="5"/>
  <c r="M105" i="5"/>
  <c r="J105" i="5"/>
  <c r="M104" i="5"/>
  <c r="J104" i="5"/>
  <c r="M103" i="5"/>
  <c r="J103" i="5"/>
  <c r="M102" i="5"/>
  <c r="J102" i="5"/>
  <c r="M101" i="5"/>
  <c r="J101" i="5"/>
  <c r="M100" i="5"/>
  <c r="J100" i="5"/>
  <c r="M99" i="5"/>
  <c r="J99" i="5"/>
  <c r="M98" i="5"/>
  <c r="J98" i="5"/>
  <c r="M92" i="5"/>
  <c r="J92" i="5"/>
  <c r="M91" i="5"/>
  <c r="J91" i="5"/>
  <c r="M90" i="5"/>
  <c r="J90" i="5"/>
  <c r="M89" i="5"/>
  <c r="J89" i="5"/>
  <c r="M88" i="5"/>
  <c r="J88" i="5"/>
  <c r="M87" i="5"/>
  <c r="J87" i="5"/>
  <c r="M86" i="5"/>
  <c r="J86" i="5"/>
  <c r="M85" i="5"/>
  <c r="J85" i="5"/>
  <c r="M84" i="5"/>
  <c r="J84" i="5"/>
  <c r="M83" i="5"/>
  <c r="J83" i="5"/>
  <c r="M82" i="5"/>
  <c r="J82" i="5"/>
  <c r="M81" i="5"/>
  <c r="J81" i="5"/>
  <c r="M80" i="5"/>
  <c r="J80" i="5"/>
  <c r="M79" i="5"/>
  <c r="J79" i="5"/>
  <c r="M78" i="5"/>
  <c r="J78" i="5"/>
  <c r="H74" i="5"/>
  <c r="H73" i="5"/>
  <c r="H72" i="5"/>
  <c r="H71" i="5"/>
  <c r="H70" i="5"/>
  <c r="H69" i="5"/>
  <c r="H68" i="5"/>
  <c r="H67" i="5"/>
  <c r="H66" i="5"/>
  <c r="H65" i="5"/>
  <c r="H64" i="5"/>
  <c r="H63" i="5"/>
  <c r="H59" i="5"/>
  <c r="H58" i="5"/>
  <c r="H57" i="5"/>
  <c r="H56" i="5"/>
  <c r="H55" i="5"/>
  <c r="H54" i="5"/>
  <c r="H53" i="5"/>
  <c r="H52" i="5"/>
  <c r="H51" i="5"/>
  <c r="H50" i="5"/>
  <c r="H49" i="5"/>
  <c r="H48" i="5"/>
  <c r="H44" i="5"/>
  <c r="H43" i="5"/>
  <c r="H42" i="5"/>
  <c r="H41" i="5"/>
  <c r="H40" i="5"/>
  <c r="H39" i="5"/>
  <c r="H38" i="5"/>
  <c r="H37" i="5"/>
  <c r="H36" i="5"/>
  <c r="H35" i="5"/>
  <c r="H34" i="5"/>
  <c r="H33" i="5"/>
  <c r="H29" i="5"/>
  <c r="H28" i="5"/>
  <c r="H27" i="5"/>
  <c r="H26" i="5"/>
  <c r="H25" i="5"/>
  <c r="H24" i="5"/>
  <c r="H23" i="5"/>
  <c r="H22" i="5"/>
  <c r="H21" i="5"/>
  <c r="H20" i="5"/>
  <c r="H19" i="5"/>
  <c r="H18" i="5"/>
  <c r="H14" i="5"/>
  <c r="H13" i="5"/>
  <c r="H12" i="5"/>
  <c r="H11" i="5"/>
  <c r="H10" i="5"/>
  <c r="H9" i="5"/>
  <c r="T47" i="3"/>
  <c r="S46" i="3"/>
  <c r="S45" i="3"/>
  <c r="S44" i="3"/>
  <c r="S43" i="3"/>
  <c r="S42" i="3"/>
  <c r="S41" i="3"/>
  <c r="S40" i="3"/>
  <c r="S39" i="3"/>
  <c r="S38" i="3"/>
  <c r="S37" i="3"/>
  <c r="S36" i="3"/>
  <c r="S35" i="3"/>
  <c r="S34" i="3"/>
  <c r="S33" i="3"/>
  <c r="S32" i="3"/>
  <c r="S31" i="3"/>
  <c r="S30" i="3"/>
  <c r="S29" i="3"/>
  <c r="S28" i="3"/>
  <c r="S27" i="3"/>
  <c r="S26" i="3"/>
  <c r="S25" i="3"/>
  <c r="S23" i="3"/>
  <c r="S22" i="3"/>
  <c r="S21" i="3"/>
  <c r="S20" i="3"/>
  <c r="S19" i="3"/>
  <c r="S18" i="3"/>
  <c r="S17" i="3"/>
  <c r="S16" i="3"/>
  <c r="S15" i="3"/>
  <c r="S14" i="3"/>
  <c r="U13" i="3"/>
  <c r="S13" i="3"/>
  <c r="S12" i="3"/>
  <c r="U11" i="3"/>
  <c r="S11" i="3"/>
  <c r="S10" i="3"/>
  <c r="U9" i="3"/>
  <c r="S9" i="3"/>
  <c r="DN81" i="2"/>
  <c r="DN82" i="2" s="1"/>
  <c r="DH81" i="2"/>
  <c r="DG81" i="2"/>
  <c r="DF81" i="2"/>
  <c r="DE81" i="2"/>
  <c r="DD81" i="2"/>
  <c r="DC81" i="2"/>
  <c r="DB81" i="2"/>
  <c r="DA81" i="2"/>
  <c r="CZ81" i="2"/>
  <c r="CY81" i="2"/>
  <c r="CX81" i="2"/>
  <c r="CW81" i="2"/>
  <c r="CV81" i="2"/>
  <c r="CT81" i="2"/>
  <c r="CS81" i="2"/>
  <c r="CR81" i="2"/>
  <c r="CQ81" i="2"/>
  <c r="CP81" i="2"/>
  <c r="CO81" i="2"/>
  <c r="CN81" i="2"/>
  <c r="CM81" i="2"/>
  <c r="CL81" i="2"/>
  <c r="CK81" i="2"/>
  <c r="CJ81" i="2"/>
  <c r="CD81" i="2"/>
  <c r="CC81" i="2"/>
  <c r="CB81" i="2"/>
  <c r="CA81" i="2"/>
  <c r="BZ81" i="2"/>
  <c r="BY81" i="2"/>
  <c r="BX81" i="2"/>
  <c r="BW81" i="2"/>
  <c r="BV81" i="2"/>
  <c r="BU81" i="2"/>
  <c r="BT81" i="2"/>
  <c r="BS81" i="2"/>
  <c r="BR81" i="2"/>
  <c r="BQ81" i="2"/>
  <c r="BP81" i="2"/>
  <c r="BO81" i="2"/>
  <c r="BN81" i="2"/>
  <c r="BL81" i="2"/>
  <c r="BK81" i="2"/>
  <c r="BJ81" i="2"/>
  <c r="BH81" i="2"/>
  <c r="BG81" i="2"/>
  <c r="BF81" i="2"/>
  <c r="AZ81" i="2"/>
  <c r="AY81" i="2"/>
  <c r="AX81" i="2"/>
  <c r="AW81" i="2"/>
  <c r="AV81" i="2"/>
  <c r="AU81" i="2"/>
  <c r="AT81" i="2"/>
  <c r="AS81" i="2"/>
  <c r="AR81" i="2"/>
  <c r="AQ81" i="2"/>
  <c r="AP81" i="2"/>
  <c r="AO81" i="2"/>
  <c r="AN81" i="2"/>
  <c r="AM81" i="2"/>
  <c r="AL81" i="2"/>
  <c r="AJ81" i="2"/>
  <c r="AH81" i="2"/>
  <c r="AF81" i="2"/>
  <c r="AD81" i="2"/>
  <c r="AC81" i="2"/>
  <c r="AB81" i="2"/>
  <c r="V81" i="2"/>
  <c r="U81" i="2"/>
  <c r="T81" i="2"/>
  <c r="S81" i="2"/>
  <c r="R81" i="2"/>
  <c r="Q81" i="2"/>
  <c r="P81" i="2"/>
  <c r="O81" i="2"/>
  <c r="N81" i="2"/>
  <c r="M81" i="2"/>
  <c r="L81" i="2"/>
  <c r="K81" i="2"/>
  <c r="J81" i="2"/>
  <c r="I81" i="2"/>
  <c r="H81" i="2"/>
  <c r="DH80" i="2"/>
  <c r="DH82" i="2" s="1"/>
  <c r="DF80" i="2"/>
  <c r="DF82" i="2" s="1"/>
  <c r="DD80" i="2"/>
  <c r="DC80" i="2"/>
  <c r="DC82" i="2" s="1"/>
  <c r="DB80" i="2"/>
  <c r="DA80" i="2"/>
  <c r="CZ80" i="2"/>
  <c r="CY80" i="2"/>
  <c r="CY82" i="2" s="1"/>
  <c r="CX80" i="2"/>
  <c r="CX82" i="2" s="1"/>
  <c r="CV80" i="2"/>
  <c r="CU80" i="2"/>
  <c r="CT80" i="2"/>
  <c r="CR80" i="2"/>
  <c r="CP80" i="2"/>
  <c r="CP82" i="2" s="1"/>
  <c r="CO80" i="2"/>
  <c r="CO82" i="2" s="1"/>
  <c r="CN80" i="2"/>
  <c r="CL80" i="2"/>
  <c r="CK80" i="2"/>
  <c r="CK82" i="2" s="1"/>
  <c r="CJ80" i="2"/>
  <c r="CD80" i="2"/>
  <c r="CD82" i="2" s="1"/>
  <c r="CB80" i="2"/>
  <c r="CB82" i="2" s="1"/>
  <c r="BZ80" i="2"/>
  <c r="BY80" i="2"/>
  <c r="BX80" i="2"/>
  <c r="BW80" i="2"/>
  <c r="BV80" i="2"/>
  <c r="BV82" i="2" s="1"/>
  <c r="BU80" i="2"/>
  <c r="BT80" i="2"/>
  <c r="BT82" i="2" s="1"/>
  <c r="BS80" i="2"/>
  <c r="BR80" i="2"/>
  <c r="BQ80" i="2"/>
  <c r="BP80" i="2"/>
  <c r="BP82" i="2" s="1"/>
  <c r="BO80" i="2"/>
  <c r="BN80" i="2"/>
  <c r="BN82" i="2" s="1"/>
  <c r="BM80" i="2"/>
  <c r="BL80" i="2"/>
  <c r="BL82" i="2" s="1"/>
  <c r="BJ80" i="2"/>
  <c r="BH80" i="2"/>
  <c r="BG80" i="2"/>
  <c r="BF80" i="2"/>
  <c r="AZ80" i="2"/>
  <c r="AX80" i="2"/>
  <c r="AX82" i="2" s="1"/>
  <c r="AT80" i="2"/>
  <c r="AR80" i="2"/>
  <c r="AR82" i="2" s="1"/>
  <c r="AP80" i="2"/>
  <c r="AO80" i="2"/>
  <c r="AO82" i="2" s="1"/>
  <c r="AN80" i="2"/>
  <c r="AM80" i="2"/>
  <c r="AL80" i="2"/>
  <c r="AJ80" i="2"/>
  <c r="AJ82" i="2" s="1"/>
  <c r="AH80" i="2"/>
  <c r="AF80" i="2"/>
  <c r="AF82" i="2" s="1"/>
  <c r="AE80" i="2"/>
  <c r="AD80" i="2"/>
  <c r="AD82" i="2" s="1"/>
  <c r="AC80" i="2"/>
  <c r="AC82" i="2" s="1"/>
  <c r="AB80" i="2"/>
  <c r="V80" i="2"/>
  <c r="V82" i="2" s="1"/>
  <c r="U80" i="2"/>
  <c r="U82" i="2" s="1"/>
  <c r="T80" i="2"/>
  <c r="T82" i="2" s="1"/>
  <c r="S80" i="2"/>
  <c r="R80" i="2"/>
  <c r="Q80" i="2"/>
  <c r="Q82" i="2" s="1"/>
  <c r="P80" i="2"/>
  <c r="P82" i="2" s="1"/>
  <c r="O80" i="2"/>
  <c r="N80" i="2"/>
  <c r="N82" i="2" s="1"/>
  <c r="M80" i="2"/>
  <c r="M82" i="2" s="1"/>
  <c r="L80" i="2"/>
  <c r="L82" i="2" s="1"/>
  <c r="K80" i="2"/>
  <c r="J80" i="2"/>
  <c r="J82" i="2" s="1"/>
  <c r="I80" i="2"/>
  <c r="I82" i="2" s="1"/>
  <c r="H80" i="2"/>
  <c r="H82" i="2" s="1"/>
  <c r="EM79" i="2"/>
  <c r="DN79" i="2"/>
  <c r="DH79" i="2"/>
  <c r="DG79" i="2"/>
  <c r="DF79" i="2"/>
  <c r="DE79" i="2"/>
  <c r="DD79" i="2"/>
  <c r="DC79" i="2"/>
  <c r="DB79" i="2"/>
  <c r="DA79" i="2"/>
  <c r="CZ79" i="2"/>
  <c r="CY79" i="2"/>
  <c r="CX79" i="2"/>
  <c r="CV79" i="2"/>
  <c r="CT79" i="2"/>
  <c r="CS79" i="2"/>
  <c r="CR79" i="2"/>
  <c r="CP79" i="2"/>
  <c r="CO79" i="2"/>
  <c r="CN79" i="2"/>
  <c r="CM79" i="2"/>
  <c r="CL79" i="2"/>
  <c r="CK79" i="2"/>
  <c r="CJ79" i="2"/>
  <c r="CD79" i="2"/>
  <c r="CC79" i="2"/>
  <c r="CB79" i="2"/>
  <c r="CA79" i="2"/>
  <c r="BZ79" i="2"/>
  <c r="BY79" i="2"/>
  <c r="BX79" i="2"/>
  <c r="BW79" i="2"/>
  <c r="BV79" i="2"/>
  <c r="BU79" i="2"/>
  <c r="BT79" i="2"/>
  <c r="BS79" i="2"/>
  <c r="BR79" i="2"/>
  <c r="BQ79" i="2"/>
  <c r="BP79" i="2"/>
  <c r="BO79" i="2"/>
  <c r="BN79" i="2"/>
  <c r="BM79" i="2"/>
  <c r="BL79" i="2"/>
  <c r="BK79" i="2"/>
  <c r="BJ79" i="2"/>
  <c r="BH79" i="2"/>
  <c r="BG79" i="2"/>
  <c r="BF79" i="2"/>
  <c r="AZ79" i="2"/>
  <c r="AX79" i="2"/>
  <c r="AW79" i="2"/>
  <c r="AU79" i="2"/>
  <c r="AT79" i="2"/>
  <c r="AS79" i="2"/>
  <c r="AR79" i="2"/>
  <c r="AQ79" i="2"/>
  <c r="AP79" i="2"/>
  <c r="AO79" i="2"/>
  <c r="AN79" i="2"/>
  <c r="AM79" i="2"/>
  <c r="AL79" i="2"/>
  <c r="AK79" i="2"/>
  <c r="AJ79" i="2"/>
  <c r="AH79" i="2"/>
  <c r="AF79" i="2"/>
  <c r="AD79" i="2"/>
  <c r="AC79" i="2"/>
  <c r="AB79" i="2"/>
  <c r="V79" i="2"/>
  <c r="U79" i="2"/>
  <c r="T79" i="2"/>
  <c r="S79" i="2"/>
  <c r="R79" i="2"/>
  <c r="Q79" i="2"/>
  <c r="P79" i="2"/>
  <c r="O79" i="2"/>
  <c r="N79" i="2"/>
  <c r="M79" i="2"/>
  <c r="L79" i="2"/>
  <c r="K79" i="2"/>
  <c r="J79" i="2"/>
  <c r="I79" i="2"/>
  <c r="H79" i="2"/>
  <c r="EP78" i="2"/>
  <c r="EO78" i="2"/>
  <c r="EM78" i="2"/>
  <c r="DH78" i="2"/>
  <c r="ER78" i="2" s="1"/>
  <c r="DG78" i="2"/>
  <c r="DF78" i="2"/>
  <c r="DE78" i="2"/>
  <c r="DD78" i="2"/>
  <c r="DC78" i="2"/>
  <c r="DB78" i="2"/>
  <c r="DA78" i="2"/>
  <c r="CZ78" i="2"/>
  <c r="CY78" i="2"/>
  <c r="CX78" i="2"/>
  <c r="CW78" i="2"/>
  <c r="CV78" i="2"/>
  <c r="CU78" i="2"/>
  <c r="CT78" i="2"/>
  <c r="CS78" i="2"/>
  <c r="CR78" i="2"/>
  <c r="CQ78" i="2"/>
  <c r="CP78" i="2"/>
  <c r="CO78" i="2"/>
  <c r="CN78" i="2"/>
  <c r="CM78" i="2"/>
  <c r="CL78" i="2"/>
  <c r="CK78" i="2"/>
  <c r="CD78" i="2"/>
  <c r="CC78" i="2"/>
  <c r="CB78" i="2"/>
  <c r="CA78" i="2"/>
  <c r="BZ78" i="2"/>
  <c r="BY78" i="2"/>
  <c r="BX78" i="2"/>
  <c r="BW78" i="2"/>
  <c r="BV78" i="2"/>
  <c r="BU78" i="2"/>
  <c r="BT78" i="2"/>
  <c r="BS78" i="2"/>
  <c r="BR78" i="2"/>
  <c r="BQ78" i="2"/>
  <c r="BP78" i="2"/>
  <c r="BO78" i="2"/>
  <c r="BN78" i="2"/>
  <c r="BM78" i="2"/>
  <c r="BL78" i="2"/>
  <c r="BK78" i="2"/>
  <c r="BJ78" i="2"/>
  <c r="BI78" i="2"/>
  <c r="BH78" i="2"/>
  <c r="BG78" i="2"/>
  <c r="BC78" i="2"/>
  <c r="BB78" i="2"/>
  <c r="AA78" i="2"/>
  <c r="Z78" i="2"/>
  <c r="Y78" i="2"/>
  <c r="X78" i="2"/>
  <c r="W78" i="2"/>
  <c r="EP77" i="2"/>
  <c r="EO77" i="2"/>
  <c r="EN77" i="2"/>
  <c r="EM77" i="2"/>
  <c r="DK77" i="2"/>
  <c r="CU77" i="2"/>
  <c r="CU79" i="2" s="1"/>
  <c r="CI77" i="2"/>
  <c r="CG77" i="2"/>
  <c r="BI77" i="2"/>
  <c r="BI81" i="2" s="1"/>
  <c r="BC77" i="2"/>
  <c r="AI77" i="2"/>
  <c r="AG77" i="2"/>
  <c r="AE77" i="2"/>
  <c r="AE79" i="2" s="1"/>
  <c r="AA77" i="2"/>
  <c r="Z77" i="2"/>
  <c r="Y77" i="2"/>
  <c r="X77" i="2"/>
  <c r="W77" i="2"/>
  <c r="EP76" i="2"/>
  <c r="EO76" i="2"/>
  <c r="EN76" i="2"/>
  <c r="EM76" i="2"/>
  <c r="DM76" i="2"/>
  <c r="DK76" i="2"/>
  <c r="DJ76" i="2"/>
  <c r="DI76" i="2"/>
  <c r="DL76" i="2" s="1"/>
  <c r="CI76" i="2"/>
  <c r="CH76" i="2"/>
  <c r="CG76" i="2"/>
  <c r="CF76" i="2"/>
  <c r="BE76" i="2"/>
  <c r="BD76" i="2"/>
  <c r="BC76" i="2"/>
  <c r="BB76" i="2"/>
  <c r="AA76" i="2"/>
  <c r="Z76" i="2"/>
  <c r="Y76" i="2"/>
  <c r="X76" i="2"/>
  <c r="W76" i="2"/>
  <c r="EP75" i="2"/>
  <c r="EO75" i="2"/>
  <c r="EN75" i="2"/>
  <c r="EM75" i="2"/>
  <c r="DM75" i="2"/>
  <c r="DK75" i="2"/>
  <c r="DE75" i="2"/>
  <c r="CS75" i="2"/>
  <c r="DJ75" i="2" s="1"/>
  <c r="CI75" i="2"/>
  <c r="CG75" i="2"/>
  <c r="CC75" i="2"/>
  <c r="AV75" i="2"/>
  <c r="BE75" i="2" s="1"/>
  <c r="AI75" i="2"/>
  <c r="AG75" i="2"/>
  <c r="AA75" i="2"/>
  <c r="Z75" i="2"/>
  <c r="Y75" i="2"/>
  <c r="X75" i="2"/>
  <c r="W75" i="2"/>
  <c r="EP74" i="2"/>
  <c r="EP79" i="2" s="1"/>
  <c r="EO74" i="2"/>
  <c r="EO79" i="2" s="1"/>
  <c r="EN74" i="2"/>
  <c r="EM74" i="2"/>
  <c r="DM74" i="2"/>
  <c r="DK74" i="2"/>
  <c r="CW74" i="2"/>
  <c r="CW79" i="2" s="1"/>
  <c r="CQ74" i="2"/>
  <c r="DJ74" i="2" s="1"/>
  <c r="CI74" i="2"/>
  <c r="CI79" i="2" s="1"/>
  <c r="CG74" i="2"/>
  <c r="BI74" i="2"/>
  <c r="BI80" i="2" s="1"/>
  <c r="AY74" i="2"/>
  <c r="AY80" i="2" s="1"/>
  <c r="AY82" i="2" s="1"/>
  <c r="AV74" i="2"/>
  <c r="AI74" i="2"/>
  <c r="BB74" i="2" s="1"/>
  <c r="AG74" i="2"/>
  <c r="AA74" i="2"/>
  <c r="AA79" i="2" s="1"/>
  <c r="Z74" i="2"/>
  <c r="Y74" i="2"/>
  <c r="Y79" i="2" s="1"/>
  <c r="X74" i="2"/>
  <c r="W74" i="2"/>
  <c r="EP73" i="2"/>
  <c r="EO73" i="2"/>
  <c r="EN73" i="2"/>
  <c r="EM73" i="2"/>
  <c r="DM73" i="2"/>
  <c r="DK73" i="2"/>
  <c r="DJ73" i="2"/>
  <c r="DI73" i="2"/>
  <c r="DL73" i="2" s="1"/>
  <c r="CI73" i="2"/>
  <c r="CI78" i="2" s="1"/>
  <c r="CG73" i="2"/>
  <c r="CF73" i="2"/>
  <c r="CE73" i="2"/>
  <c r="CE78" i="2" s="1"/>
  <c r="BE73" i="2"/>
  <c r="BE78" i="2" s="1"/>
  <c r="BC73" i="2"/>
  <c r="BB73" i="2"/>
  <c r="BA73" i="2"/>
  <c r="AA73" i="2"/>
  <c r="Z73" i="2"/>
  <c r="Y73" i="2"/>
  <c r="X73" i="2"/>
  <c r="W73" i="2"/>
  <c r="EM72" i="2"/>
  <c r="DN72" i="2"/>
  <c r="DH72" i="2"/>
  <c r="DG72" i="2"/>
  <c r="DF72" i="2"/>
  <c r="DE72" i="2"/>
  <c r="DD72" i="2"/>
  <c r="DC72" i="2"/>
  <c r="DB72" i="2"/>
  <c r="DA72" i="2"/>
  <c r="CZ72" i="2"/>
  <c r="CY72" i="2"/>
  <c r="CX72" i="2"/>
  <c r="CW72" i="2"/>
  <c r="CV72" i="2"/>
  <c r="CU72" i="2"/>
  <c r="CT72" i="2"/>
  <c r="CS72" i="2"/>
  <c r="CR72" i="2"/>
  <c r="CQ72" i="2"/>
  <c r="CP72" i="2"/>
  <c r="CO72" i="2"/>
  <c r="CN72" i="2"/>
  <c r="CM72" i="2"/>
  <c r="CL72" i="2"/>
  <c r="CK72" i="2"/>
  <c r="CJ72" i="2"/>
  <c r="CD72" i="2"/>
  <c r="CC72" i="2"/>
  <c r="CB72" i="2"/>
  <c r="CA72" i="2"/>
  <c r="BZ72" i="2"/>
  <c r="BY72" i="2"/>
  <c r="BX72" i="2"/>
  <c r="BW72" i="2"/>
  <c r="BV72" i="2"/>
  <c r="BU72" i="2"/>
  <c r="BT72" i="2"/>
  <c r="BS72" i="2"/>
  <c r="BR72" i="2"/>
  <c r="BQ72" i="2"/>
  <c r="BP72" i="2"/>
  <c r="BO72" i="2"/>
  <c r="BN72" i="2"/>
  <c r="BM72" i="2"/>
  <c r="BL72" i="2"/>
  <c r="BK72" i="2"/>
  <c r="BJ72" i="2"/>
  <c r="BI72" i="2"/>
  <c r="BH72" i="2"/>
  <c r="BG72" i="2"/>
  <c r="BF72" i="2"/>
  <c r="AZ72" i="2"/>
  <c r="AY72" i="2"/>
  <c r="AX72" i="2"/>
  <c r="AW72" i="2"/>
  <c r="AV72" i="2"/>
  <c r="AU72" i="2"/>
  <c r="AT72" i="2"/>
  <c r="AS72" i="2"/>
  <c r="AR72" i="2"/>
  <c r="AQ72" i="2"/>
  <c r="AP72" i="2"/>
  <c r="AO72" i="2"/>
  <c r="AN72" i="2"/>
  <c r="AM72" i="2"/>
  <c r="AL72" i="2"/>
  <c r="AJ72" i="2"/>
  <c r="AI72" i="2"/>
  <c r="AH72" i="2"/>
  <c r="AF72" i="2"/>
  <c r="AD72" i="2"/>
  <c r="AC72" i="2"/>
  <c r="AB72" i="2"/>
  <c r="V72" i="2"/>
  <c r="U72" i="2"/>
  <c r="T72" i="2"/>
  <c r="S72" i="2"/>
  <c r="R72" i="2"/>
  <c r="Q72" i="2"/>
  <c r="P72" i="2"/>
  <c r="O72" i="2"/>
  <c r="N72" i="2"/>
  <c r="M72" i="2"/>
  <c r="L72" i="2"/>
  <c r="K72" i="2"/>
  <c r="J72" i="2"/>
  <c r="I72" i="2"/>
  <c r="H72" i="2"/>
  <c r="EP71" i="2"/>
  <c r="EO71" i="2"/>
  <c r="EN71" i="2"/>
  <c r="EM71" i="2"/>
  <c r="DJ71" i="2"/>
  <c r="DL71" i="2" s="1"/>
  <c r="DI71" i="2"/>
  <c r="CI71" i="2"/>
  <c r="CG71" i="2"/>
  <c r="CF71" i="2"/>
  <c r="BE71" i="2"/>
  <c r="BC71" i="2"/>
  <c r="BB71" i="2"/>
  <c r="AA71" i="2"/>
  <c r="Z71" i="2"/>
  <c r="Y71" i="2"/>
  <c r="X71" i="2"/>
  <c r="W71" i="2"/>
  <c r="EP70" i="2"/>
  <c r="EO70" i="2"/>
  <c r="EN70" i="2"/>
  <c r="EM70" i="2"/>
  <c r="DJ70" i="2"/>
  <c r="DL70" i="2" s="1"/>
  <c r="DI70" i="2"/>
  <c r="DK70" i="2" s="1"/>
  <c r="CI70" i="2"/>
  <c r="CG70" i="2"/>
  <c r="CF70" i="2"/>
  <c r="CE70" i="2"/>
  <c r="CH70" i="2" s="1"/>
  <c r="BE70" i="2"/>
  <c r="BC70" i="2"/>
  <c r="AK70" i="2"/>
  <c r="AG70" i="2"/>
  <c r="AG72" i="2" s="1"/>
  <c r="AE70" i="2"/>
  <c r="AA70" i="2"/>
  <c r="Z70" i="2"/>
  <c r="Y70" i="2"/>
  <c r="X70" i="2"/>
  <c r="W70" i="2"/>
  <c r="EP69" i="2"/>
  <c r="EO69" i="2"/>
  <c r="EN69" i="2"/>
  <c r="EM69" i="2"/>
  <c r="DJ69" i="2"/>
  <c r="DL69" i="2" s="1"/>
  <c r="DI69" i="2"/>
  <c r="DK69" i="2" s="1"/>
  <c r="CI69" i="2"/>
  <c r="CH69" i="2"/>
  <c r="CG69" i="2"/>
  <c r="CF69" i="2"/>
  <c r="CE69" i="2"/>
  <c r="BE69" i="2"/>
  <c r="BD69" i="2"/>
  <c r="BC69" i="2"/>
  <c r="BB69" i="2"/>
  <c r="BA69" i="2"/>
  <c r="AA69" i="2"/>
  <c r="Z69" i="2"/>
  <c r="Y69" i="2"/>
  <c r="X69" i="2"/>
  <c r="W69" i="2"/>
  <c r="EP68" i="2"/>
  <c r="EO68" i="2"/>
  <c r="EN68" i="2"/>
  <c r="EM68" i="2"/>
  <c r="DM68" i="2"/>
  <c r="DL68" i="2"/>
  <c r="DK68" i="2"/>
  <c r="DJ68" i="2"/>
  <c r="DI68" i="2"/>
  <c r="CI68" i="2"/>
  <c r="CH68" i="2"/>
  <c r="CG68" i="2"/>
  <c r="CF68" i="2"/>
  <c r="CE68" i="2"/>
  <c r="BE68" i="2"/>
  <c r="BD68" i="2"/>
  <c r="BC68" i="2"/>
  <c r="BB68" i="2"/>
  <c r="BA68" i="2"/>
  <c r="AA68" i="2"/>
  <c r="Z68" i="2"/>
  <c r="Y68" i="2"/>
  <c r="X68" i="2"/>
  <c r="W68" i="2"/>
  <c r="EP67" i="2"/>
  <c r="EP72" i="2" s="1"/>
  <c r="EO67" i="2"/>
  <c r="EN67" i="2"/>
  <c r="EM67" i="2"/>
  <c r="DM67" i="2"/>
  <c r="ET67" i="2" s="1"/>
  <c r="DL67" i="2"/>
  <c r="DK67" i="2"/>
  <c r="DJ67" i="2"/>
  <c r="DJ72" i="2" s="1"/>
  <c r="DI67" i="2"/>
  <c r="CI67" i="2"/>
  <c r="CH67" i="2"/>
  <c r="CG67" i="2"/>
  <c r="CF67" i="2"/>
  <c r="CF72" i="2" s="1"/>
  <c r="CE67" i="2"/>
  <c r="BE67" i="2"/>
  <c r="BD67" i="2"/>
  <c r="BC67" i="2"/>
  <c r="BC72" i="2" s="1"/>
  <c r="BB67" i="2"/>
  <c r="BA67" i="2"/>
  <c r="AA67" i="2"/>
  <c r="Z67" i="2"/>
  <c r="Z72" i="2" s="1"/>
  <c r="Y67" i="2"/>
  <c r="X67" i="2"/>
  <c r="X72" i="2" s="1"/>
  <c r="W67" i="2"/>
  <c r="EP66" i="2"/>
  <c r="EO66" i="2"/>
  <c r="EN66" i="2"/>
  <c r="EM66" i="2"/>
  <c r="DM66" i="2"/>
  <c r="DL66" i="2"/>
  <c r="DK66" i="2"/>
  <c r="DJ66" i="2"/>
  <c r="DI66" i="2"/>
  <c r="CI66" i="2"/>
  <c r="CG66" i="2"/>
  <c r="CF66" i="2"/>
  <c r="CE66" i="2"/>
  <c r="CE71" i="2" s="1"/>
  <c r="BE66" i="2"/>
  <c r="BC66" i="2"/>
  <c r="BB66" i="2"/>
  <c r="BA66" i="2"/>
  <c r="AA66" i="2"/>
  <c r="Z66" i="2"/>
  <c r="Y66" i="2"/>
  <c r="X66" i="2"/>
  <c r="W66" i="2"/>
  <c r="EM65" i="2"/>
  <c r="DN65" i="2"/>
  <c r="DK65" i="2"/>
  <c r="DH65" i="2"/>
  <c r="DG65" i="2"/>
  <c r="DF65" i="2"/>
  <c r="DE65" i="2"/>
  <c r="DD65" i="2"/>
  <c r="DC65" i="2"/>
  <c r="DB65" i="2"/>
  <c r="DA65" i="2"/>
  <c r="CZ65" i="2"/>
  <c r="CY65" i="2"/>
  <c r="CX65" i="2"/>
  <c r="CW65" i="2"/>
  <c r="CV65" i="2"/>
  <c r="CU65" i="2"/>
  <c r="CT65" i="2"/>
  <c r="CS65" i="2"/>
  <c r="CR65" i="2"/>
  <c r="CQ65" i="2"/>
  <c r="CP65" i="2"/>
  <c r="CO65" i="2"/>
  <c r="CN65" i="2"/>
  <c r="CM65" i="2"/>
  <c r="CL65" i="2"/>
  <c r="CK65" i="2"/>
  <c r="CJ65" i="2"/>
  <c r="CD65" i="2"/>
  <c r="CC65" i="2"/>
  <c r="CB65" i="2"/>
  <c r="CA65" i="2"/>
  <c r="BZ65" i="2"/>
  <c r="BY65" i="2"/>
  <c r="BX65" i="2"/>
  <c r="BW65" i="2"/>
  <c r="BV65" i="2"/>
  <c r="BU65" i="2"/>
  <c r="BT65" i="2"/>
  <c r="BS65" i="2"/>
  <c r="BR65" i="2"/>
  <c r="BQ65" i="2"/>
  <c r="BP65" i="2"/>
  <c r="BO65" i="2"/>
  <c r="BN65" i="2"/>
  <c r="BL65" i="2"/>
  <c r="BK65" i="2"/>
  <c r="BJ65" i="2"/>
  <c r="BI65" i="2"/>
  <c r="BH65" i="2"/>
  <c r="BG65" i="2"/>
  <c r="BF65" i="2"/>
  <c r="AZ65" i="2"/>
  <c r="AY65" i="2"/>
  <c r="AX65" i="2"/>
  <c r="AW65" i="2"/>
  <c r="AV65" i="2"/>
  <c r="AU65" i="2"/>
  <c r="AT65" i="2"/>
  <c r="AS65" i="2"/>
  <c r="AR65" i="2"/>
  <c r="AP65" i="2"/>
  <c r="AO65" i="2"/>
  <c r="AN65" i="2"/>
  <c r="AM65" i="2"/>
  <c r="AL65" i="2"/>
  <c r="AJ65" i="2"/>
  <c r="AH65" i="2"/>
  <c r="AF65" i="2"/>
  <c r="AD65" i="2"/>
  <c r="AC65" i="2"/>
  <c r="AB65" i="2"/>
  <c r="V65" i="2"/>
  <c r="U65" i="2"/>
  <c r="T65" i="2"/>
  <c r="S65" i="2"/>
  <c r="R65" i="2"/>
  <c r="Q65" i="2"/>
  <c r="P65" i="2"/>
  <c r="O65" i="2"/>
  <c r="N65" i="2"/>
  <c r="M65" i="2"/>
  <c r="L65" i="2"/>
  <c r="K65" i="2"/>
  <c r="J65" i="2"/>
  <c r="I65" i="2"/>
  <c r="H65" i="2"/>
  <c r="EP64" i="2"/>
  <c r="EO64" i="2"/>
  <c r="EM64" i="2"/>
  <c r="DN64" i="2"/>
  <c r="DH64" i="2"/>
  <c r="DG64" i="2"/>
  <c r="DF64" i="2"/>
  <c r="DE64" i="2"/>
  <c r="DD64" i="2"/>
  <c r="DC64" i="2"/>
  <c r="DB64" i="2"/>
  <c r="DA64" i="2"/>
  <c r="CZ64" i="2"/>
  <c r="CY64" i="2"/>
  <c r="CX64" i="2"/>
  <c r="CW64" i="2"/>
  <c r="CV64" i="2"/>
  <c r="CU64" i="2"/>
  <c r="CT64" i="2"/>
  <c r="CS64" i="2"/>
  <c r="CR64" i="2"/>
  <c r="CQ64" i="2"/>
  <c r="CP64" i="2"/>
  <c r="CO64" i="2"/>
  <c r="CN64" i="2"/>
  <c r="CM64" i="2"/>
  <c r="CL64" i="2"/>
  <c r="CK64" i="2"/>
  <c r="CD64" i="2"/>
  <c r="CC64" i="2"/>
  <c r="CB64" i="2"/>
  <c r="CA64" i="2"/>
  <c r="BZ64" i="2"/>
  <c r="BY64" i="2"/>
  <c r="BX64" i="2"/>
  <c r="BW64" i="2"/>
  <c r="BV64" i="2"/>
  <c r="BU64" i="2"/>
  <c r="BT64" i="2"/>
  <c r="BS64" i="2"/>
  <c r="BR64" i="2"/>
  <c r="BQ64" i="2"/>
  <c r="BP64" i="2"/>
  <c r="BO64" i="2"/>
  <c r="BN64" i="2"/>
  <c r="BM64" i="2"/>
  <c r="BL64" i="2"/>
  <c r="BK64" i="2"/>
  <c r="BJ64" i="2"/>
  <c r="BI64" i="2"/>
  <c r="BH64" i="2"/>
  <c r="BG64" i="2"/>
  <c r="BE64" i="2"/>
  <c r="BC64" i="2"/>
  <c r="BB64" i="2"/>
  <c r="AA64" i="2"/>
  <c r="Z64" i="2"/>
  <c r="Y64" i="2"/>
  <c r="X64" i="2"/>
  <c r="W64" i="2"/>
  <c r="EP63" i="2"/>
  <c r="EO63" i="2"/>
  <c r="EN63" i="2"/>
  <c r="EM63" i="2"/>
  <c r="DM63" i="2"/>
  <c r="DJ63" i="2"/>
  <c r="ES63" i="2" s="1"/>
  <c r="DI63" i="2"/>
  <c r="DL63" i="2" s="1"/>
  <c r="CI63" i="2"/>
  <c r="CG63" i="2"/>
  <c r="CF63" i="2"/>
  <c r="CE63" i="2"/>
  <c r="CH63" i="2" s="1"/>
  <c r="BM63" i="2"/>
  <c r="BM81" i="2" s="1"/>
  <c r="BE63" i="2"/>
  <c r="BC63" i="2"/>
  <c r="AK63" i="2"/>
  <c r="AI63" i="2"/>
  <c r="AG63" i="2"/>
  <c r="AE63" i="2"/>
  <c r="AE65" i="2" s="1"/>
  <c r="AA63" i="2"/>
  <c r="Z63" i="2"/>
  <c r="Y63" i="2"/>
  <c r="X63" i="2"/>
  <c r="W63" i="2"/>
  <c r="EP62" i="2"/>
  <c r="EO62" i="2"/>
  <c r="EN62" i="2"/>
  <c r="EM62" i="2"/>
  <c r="DM62" i="2"/>
  <c r="DJ62" i="2"/>
  <c r="ES62" i="2" s="1"/>
  <c r="DI62" i="2"/>
  <c r="DL62" i="2" s="1"/>
  <c r="CI62" i="2"/>
  <c r="CH62" i="2"/>
  <c r="CG62" i="2"/>
  <c r="CF62" i="2"/>
  <c r="BE62" i="2"/>
  <c r="BD62" i="2"/>
  <c r="BC62" i="2"/>
  <c r="BB62" i="2"/>
  <c r="AA62" i="2"/>
  <c r="Z62" i="2"/>
  <c r="Y62" i="2"/>
  <c r="X62" i="2"/>
  <c r="W62" i="2"/>
  <c r="EP61" i="2"/>
  <c r="EO61" i="2"/>
  <c r="EN61" i="2"/>
  <c r="EM61" i="2"/>
  <c r="DM61" i="2"/>
  <c r="DJ61" i="2"/>
  <c r="ES61" i="2" s="1"/>
  <c r="DI61" i="2"/>
  <c r="CC61" i="2"/>
  <c r="BL61" i="2"/>
  <c r="CG61" i="2" s="1"/>
  <c r="BE61" i="2"/>
  <c r="BC61" i="2"/>
  <c r="AW61" i="2"/>
  <c r="AO61" i="2"/>
  <c r="AI61" i="2"/>
  <c r="AA61" i="2"/>
  <c r="Z61" i="2"/>
  <c r="Y61" i="2"/>
  <c r="X61" i="2"/>
  <c r="W61" i="2"/>
  <c r="EP60" i="2"/>
  <c r="EO60" i="2"/>
  <c r="EO65" i="2" s="1"/>
  <c r="EN60" i="2"/>
  <c r="EM60" i="2"/>
  <c r="DM60" i="2"/>
  <c r="DJ60" i="2"/>
  <c r="DI60" i="2"/>
  <c r="DI65" i="2" s="1"/>
  <c r="CI60" i="2"/>
  <c r="CI65" i="2" s="1"/>
  <c r="CG60" i="2"/>
  <c r="CF60" i="2"/>
  <c r="CE60" i="2"/>
  <c r="BE60" i="2"/>
  <c r="BC60" i="2"/>
  <c r="BC65" i="2" s="1"/>
  <c r="AQ60" i="2"/>
  <c r="AI60" i="2"/>
  <c r="AI65" i="2" s="1"/>
  <c r="AG60" i="2"/>
  <c r="AA60" i="2"/>
  <c r="Z60" i="2"/>
  <c r="Z65" i="2" s="1"/>
  <c r="Y60" i="2"/>
  <c r="Y65" i="2" s="1"/>
  <c r="X60" i="2"/>
  <c r="X65" i="2" s="1"/>
  <c r="W60" i="2"/>
  <c r="EP59" i="2"/>
  <c r="EO59" i="2"/>
  <c r="EN59" i="2"/>
  <c r="EM59" i="2"/>
  <c r="DJ59" i="2"/>
  <c r="ES59" i="2" s="1"/>
  <c r="DI59" i="2"/>
  <c r="DL59" i="2" s="1"/>
  <c r="CI59" i="2"/>
  <c r="CG59" i="2"/>
  <c r="CF59" i="2"/>
  <c r="CE59" i="2"/>
  <c r="CH59" i="2" s="1"/>
  <c r="BE59" i="2"/>
  <c r="BC59" i="2"/>
  <c r="BB59" i="2"/>
  <c r="BA59" i="2"/>
  <c r="AA59" i="2"/>
  <c r="Z59" i="2"/>
  <c r="Y59" i="2"/>
  <c r="X59" i="2"/>
  <c r="W59" i="2"/>
  <c r="EM58" i="2"/>
  <c r="DN58" i="2"/>
  <c r="DH58" i="2"/>
  <c r="DF58" i="2"/>
  <c r="DD58" i="2"/>
  <c r="DC58" i="2"/>
  <c r="DB58" i="2"/>
  <c r="DA58" i="2"/>
  <c r="CZ58" i="2"/>
  <c r="CY58" i="2"/>
  <c r="CX58" i="2"/>
  <c r="CV58" i="2"/>
  <c r="CU58" i="2"/>
  <c r="CT58" i="2"/>
  <c r="CR58" i="2"/>
  <c r="CQ58" i="2"/>
  <c r="CP58" i="2"/>
  <c r="CO58" i="2"/>
  <c r="CN58" i="2"/>
  <c r="CM58" i="2"/>
  <c r="CL58" i="2"/>
  <c r="CK58" i="2"/>
  <c r="CJ58" i="2"/>
  <c r="CD58" i="2"/>
  <c r="CB58" i="2"/>
  <c r="BZ58" i="2"/>
  <c r="BY58" i="2"/>
  <c r="BX58" i="2"/>
  <c r="BW58" i="2"/>
  <c r="BV58" i="2"/>
  <c r="BU58" i="2"/>
  <c r="BT58" i="2"/>
  <c r="BS58" i="2"/>
  <c r="BR58" i="2"/>
  <c r="BQ58" i="2"/>
  <c r="BP58" i="2"/>
  <c r="BO58" i="2"/>
  <c r="BN58" i="2"/>
  <c r="BM58" i="2"/>
  <c r="BL58" i="2"/>
  <c r="BK58" i="2"/>
  <c r="BJ58" i="2"/>
  <c r="BI58" i="2"/>
  <c r="BH58" i="2"/>
  <c r="BG58" i="2"/>
  <c r="BF58" i="2"/>
  <c r="AZ58" i="2"/>
  <c r="AY58" i="2"/>
  <c r="AX58" i="2"/>
  <c r="AW58" i="2"/>
  <c r="AV58" i="2"/>
  <c r="AU58" i="2"/>
  <c r="AT58" i="2"/>
  <c r="AS58" i="2"/>
  <c r="AR58" i="2"/>
  <c r="AQ58" i="2"/>
  <c r="AP58" i="2"/>
  <c r="AO58" i="2"/>
  <c r="AN58" i="2"/>
  <c r="AM58" i="2"/>
  <c r="AL58" i="2"/>
  <c r="AK58" i="2"/>
  <c r="AJ58" i="2"/>
  <c r="AI58" i="2"/>
  <c r="AH58" i="2"/>
  <c r="AF58" i="2"/>
  <c r="AD58" i="2"/>
  <c r="AC58" i="2"/>
  <c r="AB58" i="2"/>
  <c r="V58" i="2"/>
  <c r="U58" i="2"/>
  <c r="T58" i="2"/>
  <c r="S58" i="2"/>
  <c r="R58" i="2"/>
  <c r="Q58" i="2"/>
  <c r="P58" i="2"/>
  <c r="O58" i="2"/>
  <c r="N58" i="2"/>
  <c r="M58" i="2"/>
  <c r="L58" i="2"/>
  <c r="K58" i="2"/>
  <c r="J58" i="2"/>
  <c r="I58" i="2"/>
  <c r="H58" i="2"/>
  <c r="EP57" i="2"/>
  <c r="EO57" i="2"/>
  <c r="EN57" i="2"/>
  <c r="EM57" i="2"/>
  <c r="DN57" i="2"/>
  <c r="DH57" i="2"/>
  <c r="DG57" i="2"/>
  <c r="DF57" i="2"/>
  <c r="DE57" i="2"/>
  <c r="DD57" i="2"/>
  <c r="DC57" i="2"/>
  <c r="DB57" i="2"/>
  <c r="DA57" i="2"/>
  <c r="CZ57" i="2"/>
  <c r="CY57" i="2"/>
  <c r="CX57" i="2"/>
  <c r="CW57" i="2"/>
  <c r="CV57" i="2"/>
  <c r="CU57" i="2"/>
  <c r="CT57" i="2"/>
  <c r="CS57" i="2"/>
  <c r="CR57" i="2"/>
  <c r="CQ57" i="2"/>
  <c r="CP57" i="2"/>
  <c r="CO57" i="2"/>
  <c r="CN57" i="2"/>
  <c r="CM57" i="2"/>
  <c r="CL57" i="2"/>
  <c r="DK57" i="2" s="1"/>
  <c r="CK57" i="2"/>
  <c r="CD57" i="2"/>
  <c r="CB57" i="2"/>
  <c r="BZ57" i="2"/>
  <c r="BY57" i="2"/>
  <c r="BX57" i="2"/>
  <c r="BW57" i="2"/>
  <c r="BV57" i="2"/>
  <c r="BU57" i="2"/>
  <c r="BT57" i="2"/>
  <c r="BS57" i="2"/>
  <c r="BR57" i="2"/>
  <c r="BQ57" i="2"/>
  <c r="BP57" i="2"/>
  <c r="BO57" i="2"/>
  <c r="BN57" i="2"/>
  <c r="BM57" i="2"/>
  <c r="BL57" i="2"/>
  <c r="BK57" i="2"/>
  <c r="BJ57" i="2"/>
  <c r="BI57" i="2"/>
  <c r="BH57" i="2"/>
  <c r="BG57" i="2"/>
  <c r="BF57" i="2"/>
  <c r="BE57" i="2"/>
  <c r="BC57" i="2"/>
  <c r="BB57" i="2"/>
  <c r="AA57" i="2"/>
  <c r="Z57" i="2"/>
  <c r="Y57" i="2"/>
  <c r="X57" i="2"/>
  <c r="W57" i="2"/>
  <c r="EP56" i="2"/>
  <c r="EO56" i="2"/>
  <c r="EN56" i="2"/>
  <c r="EM56" i="2"/>
  <c r="DM56" i="2"/>
  <c r="DK56" i="2"/>
  <c r="DK58" i="2" s="1"/>
  <c r="DJ56" i="2"/>
  <c r="DI56" i="2"/>
  <c r="DL56" i="2" s="1"/>
  <c r="CI56" i="2"/>
  <c r="CG56" i="2"/>
  <c r="CF56" i="2"/>
  <c r="CE56" i="2"/>
  <c r="CH56" i="2" s="1"/>
  <c r="BE56" i="2"/>
  <c r="BC56" i="2"/>
  <c r="AG56" i="2"/>
  <c r="AE56" i="2"/>
  <c r="AA56" i="2"/>
  <c r="Z56" i="2"/>
  <c r="Y56" i="2"/>
  <c r="X56" i="2"/>
  <c r="W56" i="2"/>
  <c r="EP55" i="2"/>
  <c r="EO55" i="2"/>
  <c r="EN55" i="2"/>
  <c r="EM55" i="2"/>
  <c r="DM55" i="2"/>
  <c r="DK55" i="2"/>
  <c r="DJ55" i="2"/>
  <c r="DI55" i="2"/>
  <c r="DL55" i="2" s="1"/>
  <c r="CI55" i="2"/>
  <c r="CH55" i="2"/>
  <c r="CG55" i="2"/>
  <c r="CF55" i="2"/>
  <c r="BE55" i="2"/>
  <c r="BD55" i="2"/>
  <c r="BC55" i="2"/>
  <c r="BB55" i="2"/>
  <c r="AA55" i="2"/>
  <c r="Z55" i="2"/>
  <c r="Y55" i="2"/>
  <c r="X55" i="2"/>
  <c r="W55" i="2"/>
  <c r="EP54" i="2"/>
  <c r="EO54" i="2"/>
  <c r="EN54" i="2"/>
  <c r="EM54" i="2"/>
  <c r="DM54" i="2"/>
  <c r="DK54" i="2"/>
  <c r="DE54" i="2"/>
  <c r="DC54" i="2"/>
  <c r="DA54" i="2"/>
  <c r="CY54" i="2"/>
  <c r="CW54" i="2"/>
  <c r="CU54" i="2"/>
  <c r="CC54" i="2"/>
  <c r="BY54" i="2"/>
  <c r="BL54" i="2"/>
  <c r="CI54" i="2" s="1"/>
  <c r="BE54" i="2"/>
  <c r="BC54" i="2"/>
  <c r="BB54" i="2"/>
  <c r="BA54" i="2"/>
  <c r="BD54" i="2" s="1"/>
  <c r="AA54" i="2"/>
  <c r="Z54" i="2"/>
  <c r="Y54" i="2"/>
  <c r="X54" i="2"/>
  <c r="W54" i="2"/>
  <c r="EP53" i="2"/>
  <c r="EP58" i="2" s="1"/>
  <c r="EO53" i="2"/>
  <c r="EO58" i="2" s="1"/>
  <c r="EN53" i="2"/>
  <c r="EM53" i="2"/>
  <c r="DM53" i="2"/>
  <c r="DG53" i="2"/>
  <c r="DE53" i="2"/>
  <c r="DE80" i="2" s="1"/>
  <c r="DE82" i="2" s="1"/>
  <c r="CW53" i="2"/>
  <c r="CW58" i="2" s="1"/>
  <c r="CS53" i="2"/>
  <c r="CI53" i="2"/>
  <c r="CI58" i="2" s="1"/>
  <c r="CG53" i="2"/>
  <c r="CC53" i="2"/>
  <c r="CA53" i="2"/>
  <c r="BE53" i="2"/>
  <c r="BC53" i="2"/>
  <c r="BC58" i="2" s="1"/>
  <c r="BB53" i="2"/>
  <c r="AG53" i="2"/>
  <c r="AG58" i="2" s="1"/>
  <c r="AA53" i="2"/>
  <c r="Z53" i="2"/>
  <c r="Z58" i="2" s="1"/>
  <c r="Y53" i="2"/>
  <c r="X53" i="2"/>
  <c r="W53" i="2"/>
  <c r="EP52" i="2"/>
  <c r="EO52" i="2"/>
  <c r="EN52" i="2"/>
  <c r="EM52" i="2"/>
  <c r="DM52" i="2"/>
  <c r="DJ52" i="2"/>
  <c r="ES52" i="2" s="1"/>
  <c r="DI52" i="2"/>
  <c r="DL52" i="2" s="1"/>
  <c r="CI52" i="2"/>
  <c r="CG52" i="2"/>
  <c r="CC52" i="2"/>
  <c r="CA52" i="2"/>
  <c r="BE52" i="2"/>
  <c r="BC52" i="2"/>
  <c r="BB52" i="2"/>
  <c r="BA52" i="2"/>
  <c r="BA57" i="2" s="1"/>
  <c r="AA52" i="2"/>
  <c r="Z52" i="2"/>
  <c r="Y52" i="2"/>
  <c r="X52" i="2"/>
  <c r="W52" i="2"/>
  <c r="EM51" i="2"/>
  <c r="DN51" i="2"/>
  <c r="DH51" i="2"/>
  <c r="DG51" i="2"/>
  <c r="DF51" i="2"/>
  <c r="DE51" i="2"/>
  <c r="DD51" i="2"/>
  <c r="DC51" i="2"/>
  <c r="DB51" i="2"/>
  <c r="DA51" i="2"/>
  <c r="CZ51" i="2"/>
  <c r="CY51" i="2"/>
  <c r="CX51" i="2"/>
  <c r="CW51" i="2"/>
  <c r="CV51" i="2"/>
  <c r="CU51" i="2"/>
  <c r="CT51" i="2"/>
  <c r="CS51" i="2"/>
  <c r="CR51" i="2"/>
  <c r="CQ51" i="2"/>
  <c r="CP51" i="2"/>
  <c r="CO51" i="2"/>
  <c r="CN51" i="2"/>
  <c r="CM51" i="2"/>
  <c r="CL51" i="2"/>
  <c r="CK51" i="2"/>
  <c r="CJ51" i="2"/>
  <c r="CD51" i="2"/>
  <c r="CC51" i="2"/>
  <c r="CB51" i="2"/>
  <c r="CA51" i="2"/>
  <c r="BZ51" i="2"/>
  <c r="BY51" i="2"/>
  <c r="BX51" i="2"/>
  <c r="BW51" i="2"/>
  <c r="BV51" i="2"/>
  <c r="BU51" i="2"/>
  <c r="BT51" i="2"/>
  <c r="BS51" i="2"/>
  <c r="BR51" i="2"/>
  <c r="BQ51" i="2"/>
  <c r="BP51" i="2"/>
  <c r="BO51" i="2"/>
  <c r="BN51" i="2"/>
  <c r="BM51" i="2"/>
  <c r="BL51" i="2"/>
  <c r="BK51" i="2"/>
  <c r="BJ51" i="2"/>
  <c r="BI51" i="2"/>
  <c r="BH51" i="2"/>
  <c r="BG51" i="2"/>
  <c r="BF51" i="2"/>
  <c r="AZ51" i="2"/>
  <c r="AY51" i="2"/>
  <c r="AX51" i="2"/>
  <c r="AU51" i="2"/>
  <c r="AT51" i="2"/>
  <c r="AS51" i="2"/>
  <c r="AR51" i="2"/>
  <c r="AQ51" i="2"/>
  <c r="AP51" i="2"/>
  <c r="AO51" i="2"/>
  <c r="AN51" i="2"/>
  <c r="AM51" i="2"/>
  <c r="AL51" i="2"/>
  <c r="AK51" i="2"/>
  <c r="AJ51" i="2"/>
  <c r="AI51" i="2"/>
  <c r="AH51" i="2"/>
  <c r="AG51" i="2"/>
  <c r="AF51" i="2"/>
  <c r="AD51" i="2"/>
  <c r="AC51" i="2"/>
  <c r="AB51" i="2"/>
  <c r="V51" i="2"/>
  <c r="U51" i="2"/>
  <c r="T51" i="2"/>
  <c r="S51" i="2"/>
  <c r="R51" i="2"/>
  <c r="Q51" i="2"/>
  <c r="P51" i="2"/>
  <c r="O51" i="2"/>
  <c r="N51" i="2"/>
  <c r="M51" i="2"/>
  <c r="L51" i="2"/>
  <c r="K51" i="2"/>
  <c r="J51" i="2"/>
  <c r="I51" i="2"/>
  <c r="H51" i="2"/>
  <c r="EP50" i="2"/>
  <c r="EO50" i="2"/>
  <c r="EM50" i="2"/>
  <c r="DH50" i="2"/>
  <c r="ER50" i="2" s="1"/>
  <c r="DG50" i="2"/>
  <c r="DF50" i="2"/>
  <c r="DE50" i="2"/>
  <c r="DD50" i="2"/>
  <c r="DC50" i="2"/>
  <c r="DB50" i="2"/>
  <c r="DA50" i="2"/>
  <c r="CZ50" i="2"/>
  <c r="CY50" i="2"/>
  <c r="CX50" i="2"/>
  <c r="CW50" i="2"/>
  <c r="CV50" i="2"/>
  <c r="CU50" i="2"/>
  <c r="CT50" i="2"/>
  <c r="CS50" i="2"/>
  <c r="CR50" i="2"/>
  <c r="CQ50" i="2"/>
  <c r="CP50" i="2"/>
  <c r="CO50" i="2"/>
  <c r="CN50" i="2"/>
  <c r="CM50" i="2"/>
  <c r="CL50" i="2"/>
  <c r="CK50" i="2"/>
  <c r="CD50" i="2"/>
  <c r="CC50" i="2"/>
  <c r="CB50" i="2"/>
  <c r="CA50" i="2"/>
  <c r="BZ50" i="2"/>
  <c r="BY50" i="2"/>
  <c r="BX50" i="2"/>
  <c r="BW50" i="2"/>
  <c r="BV50" i="2"/>
  <c r="BU50" i="2"/>
  <c r="BT50" i="2"/>
  <c r="BS50" i="2"/>
  <c r="BR50" i="2"/>
  <c r="BQ50" i="2"/>
  <c r="BP50" i="2"/>
  <c r="BO50" i="2"/>
  <c r="BN50" i="2"/>
  <c r="BM50" i="2"/>
  <c r="BL50" i="2"/>
  <c r="BK50" i="2"/>
  <c r="BJ50" i="2"/>
  <c r="BI50" i="2"/>
  <c r="BH50" i="2"/>
  <c r="BG50" i="2"/>
  <c r="BE50" i="2"/>
  <c r="BC50" i="2"/>
  <c r="BB50" i="2"/>
  <c r="AA50" i="2"/>
  <c r="Z50" i="2"/>
  <c r="Y50" i="2"/>
  <c r="X50" i="2"/>
  <c r="W50" i="2"/>
  <c r="EP49" i="2"/>
  <c r="EO49" i="2"/>
  <c r="EN49" i="2"/>
  <c r="EM49" i="2"/>
  <c r="DM49" i="2"/>
  <c r="DK49" i="2"/>
  <c r="DJ49" i="2"/>
  <c r="DI49" i="2"/>
  <c r="DL49" i="2" s="1"/>
  <c r="CI49" i="2"/>
  <c r="CG49" i="2"/>
  <c r="CF49" i="2"/>
  <c r="CE49" i="2"/>
  <c r="CH49" i="2" s="1"/>
  <c r="BE49" i="2"/>
  <c r="BC49" i="2"/>
  <c r="AE49" i="2"/>
  <c r="BB49" i="2" s="1"/>
  <c r="AA49" i="2"/>
  <c r="Z49" i="2"/>
  <c r="Y49" i="2"/>
  <c r="X49" i="2"/>
  <c r="W49" i="2"/>
  <c r="EP48" i="2"/>
  <c r="EO48" i="2"/>
  <c r="EN48" i="2"/>
  <c r="EM48" i="2"/>
  <c r="DM48" i="2"/>
  <c r="DK48" i="2"/>
  <c r="DJ48" i="2"/>
  <c r="DI48" i="2"/>
  <c r="DL48" i="2" s="1"/>
  <c r="CI48" i="2"/>
  <c r="CH48" i="2"/>
  <c r="CG48" i="2"/>
  <c r="CF48" i="2"/>
  <c r="BE48" i="2"/>
  <c r="BD48" i="2"/>
  <c r="BC48" i="2"/>
  <c r="BB48" i="2"/>
  <c r="AA48" i="2"/>
  <c r="Z48" i="2"/>
  <c r="Y48" i="2"/>
  <c r="X48" i="2"/>
  <c r="W48" i="2"/>
  <c r="EP47" i="2"/>
  <c r="EO47" i="2"/>
  <c r="EN47" i="2"/>
  <c r="EM47" i="2"/>
  <c r="DM47" i="2"/>
  <c r="DK47" i="2"/>
  <c r="DJ47" i="2"/>
  <c r="DI47" i="2"/>
  <c r="CC47" i="2"/>
  <c r="BL47" i="2"/>
  <c r="CG47" i="2" s="1"/>
  <c r="AV47" i="2"/>
  <c r="BE47" i="2" s="1"/>
  <c r="AI47" i="2"/>
  <c r="AA47" i="2"/>
  <c r="Z47" i="2"/>
  <c r="Y47" i="2"/>
  <c r="X47" i="2"/>
  <c r="W47" i="2"/>
  <c r="EP46" i="2"/>
  <c r="EO46" i="2"/>
  <c r="EN46" i="2"/>
  <c r="EM46" i="2"/>
  <c r="DM46" i="2"/>
  <c r="DK46" i="2"/>
  <c r="DJ46" i="2"/>
  <c r="DJ51" i="2" s="1"/>
  <c r="DI46" i="2"/>
  <c r="DL46" i="2" s="1"/>
  <c r="DL51" i="2" s="1"/>
  <c r="CI46" i="2"/>
  <c r="CG46" i="2"/>
  <c r="CF46" i="2"/>
  <c r="CF51" i="2" s="1"/>
  <c r="CE46" i="2"/>
  <c r="CH46" i="2" s="1"/>
  <c r="AW46" i="2"/>
  <c r="AW80" i="2" s="1"/>
  <c r="AW82" i="2" s="1"/>
  <c r="AV46" i="2"/>
  <c r="AV51" i="2" s="1"/>
  <c r="AA46" i="2"/>
  <c r="Z46" i="2"/>
  <c r="Y46" i="2"/>
  <c r="X46" i="2"/>
  <c r="X51" i="2" s="1"/>
  <c r="W46" i="2"/>
  <c r="EP45" i="2"/>
  <c r="EO45" i="2"/>
  <c r="EN45" i="2"/>
  <c r="EM45" i="2"/>
  <c r="DM45" i="2"/>
  <c r="DK45" i="2"/>
  <c r="ES45" i="2" s="1"/>
  <c r="DJ45" i="2"/>
  <c r="DI45" i="2"/>
  <c r="DL45" i="2" s="1"/>
  <c r="CI45" i="2"/>
  <c r="CG45" i="2"/>
  <c r="CF45" i="2"/>
  <c r="CE45" i="2"/>
  <c r="BE45" i="2"/>
  <c r="BC45" i="2"/>
  <c r="BB45" i="2"/>
  <c r="BA45" i="2"/>
  <c r="BA50" i="2" s="1"/>
  <c r="AA45" i="2"/>
  <c r="Z45" i="2"/>
  <c r="Y45" i="2"/>
  <c r="X45" i="2"/>
  <c r="W45" i="2"/>
  <c r="EM44" i="2"/>
  <c r="DN44" i="2"/>
  <c r="DH44" i="2"/>
  <c r="ER44" i="2" s="1"/>
  <c r="DG44" i="2"/>
  <c r="DF44" i="2"/>
  <c r="DE44" i="2"/>
  <c r="DD44" i="2"/>
  <c r="DC44" i="2"/>
  <c r="DB44" i="2"/>
  <c r="DA44" i="2"/>
  <c r="CZ44" i="2"/>
  <c r="CY44" i="2"/>
  <c r="CX44" i="2"/>
  <c r="CW44" i="2"/>
  <c r="CV44" i="2"/>
  <c r="CU44" i="2"/>
  <c r="CT44" i="2"/>
  <c r="CS44" i="2"/>
  <c r="CR44" i="2"/>
  <c r="CQ44" i="2"/>
  <c r="CP44" i="2"/>
  <c r="CO44" i="2"/>
  <c r="CN44" i="2"/>
  <c r="CL44" i="2"/>
  <c r="CK44" i="2"/>
  <c r="CJ44" i="2"/>
  <c r="CD44" i="2"/>
  <c r="CC44" i="2"/>
  <c r="CB44" i="2"/>
  <c r="BZ44" i="2"/>
  <c r="BY44" i="2"/>
  <c r="BX44" i="2"/>
  <c r="BW44" i="2"/>
  <c r="BV44" i="2"/>
  <c r="BU44" i="2"/>
  <c r="BT44" i="2"/>
  <c r="BS44" i="2"/>
  <c r="BR44" i="2"/>
  <c r="BQ44" i="2"/>
  <c r="BP44" i="2"/>
  <c r="BO44" i="2"/>
  <c r="BN44" i="2"/>
  <c r="BM44" i="2"/>
  <c r="BL44" i="2"/>
  <c r="BK44" i="2"/>
  <c r="BJ44" i="2"/>
  <c r="BI44" i="2"/>
  <c r="BH44" i="2"/>
  <c r="BG44" i="2"/>
  <c r="BF44" i="2"/>
  <c r="AZ44" i="2"/>
  <c r="AY44" i="2"/>
  <c r="AX44" i="2"/>
  <c r="AW44" i="2"/>
  <c r="AV44" i="2"/>
  <c r="AU44" i="2"/>
  <c r="AT44" i="2"/>
  <c r="AS44" i="2"/>
  <c r="AR44" i="2"/>
  <c r="AQ44" i="2"/>
  <c r="AP44" i="2"/>
  <c r="AO44" i="2"/>
  <c r="AN44" i="2"/>
  <c r="AM44" i="2"/>
  <c r="AL44" i="2"/>
  <c r="AJ44" i="2"/>
  <c r="AH44" i="2"/>
  <c r="AF44" i="2"/>
  <c r="AD44" i="2"/>
  <c r="AC44" i="2"/>
  <c r="AB44" i="2"/>
  <c r="V44" i="2"/>
  <c r="U44" i="2"/>
  <c r="T44" i="2"/>
  <c r="S44" i="2"/>
  <c r="R44" i="2"/>
  <c r="Q44" i="2"/>
  <c r="P44" i="2"/>
  <c r="O44" i="2"/>
  <c r="N44" i="2"/>
  <c r="M44" i="2"/>
  <c r="L44" i="2"/>
  <c r="K44" i="2"/>
  <c r="J44" i="2"/>
  <c r="I44" i="2"/>
  <c r="H44" i="2"/>
  <c r="EP43" i="2"/>
  <c r="EO43" i="2"/>
  <c r="EN43" i="2"/>
  <c r="EM43" i="2"/>
  <c r="DN43" i="2"/>
  <c r="DH43" i="2"/>
  <c r="DG43" i="2"/>
  <c r="DF43" i="2"/>
  <c r="DE43" i="2"/>
  <c r="DD43" i="2"/>
  <c r="DC43" i="2"/>
  <c r="DB43" i="2"/>
  <c r="DA43" i="2"/>
  <c r="CZ43" i="2"/>
  <c r="CY43" i="2"/>
  <c r="CX43" i="2"/>
  <c r="CW43" i="2"/>
  <c r="CV43" i="2"/>
  <c r="CU43" i="2"/>
  <c r="CT43" i="2"/>
  <c r="CS43" i="2"/>
  <c r="CR43" i="2"/>
  <c r="CQ43" i="2"/>
  <c r="CP43" i="2"/>
  <c r="CO43" i="2"/>
  <c r="CN43" i="2"/>
  <c r="CM43" i="2"/>
  <c r="CL43" i="2"/>
  <c r="CK43" i="2"/>
  <c r="CD43" i="2"/>
  <c r="CC43" i="2"/>
  <c r="CB43" i="2"/>
  <c r="CA43" i="2"/>
  <c r="BZ43" i="2"/>
  <c r="BY43" i="2"/>
  <c r="BX43" i="2"/>
  <c r="BW43" i="2"/>
  <c r="BV43" i="2"/>
  <c r="BU43" i="2"/>
  <c r="BT43" i="2"/>
  <c r="BS43" i="2"/>
  <c r="BR43" i="2"/>
  <c r="BQ43" i="2"/>
  <c r="BP43" i="2"/>
  <c r="BO43" i="2"/>
  <c r="BN43" i="2"/>
  <c r="BM43" i="2"/>
  <c r="BL43" i="2"/>
  <c r="BK43" i="2"/>
  <c r="BJ43" i="2"/>
  <c r="BI43" i="2"/>
  <c r="BH43" i="2"/>
  <c r="BG43" i="2"/>
  <c r="BE43" i="2"/>
  <c r="BC43" i="2"/>
  <c r="BB43" i="2"/>
  <c r="AA43" i="2"/>
  <c r="Z43" i="2"/>
  <c r="Y43" i="2"/>
  <c r="X43" i="2"/>
  <c r="W43" i="2"/>
  <c r="EP42" i="2"/>
  <c r="EO42" i="2"/>
  <c r="EN42" i="2"/>
  <c r="EM42" i="2"/>
  <c r="DM42" i="2"/>
  <c r="ET42" i="2" s="1"/>
  <c r="DK42" i="2"/>
  <c r="DJ42" i="2"/>
  <c r="DI42" i="2"/>
  <c r="DL42" i="2" s="1"/>
  <c r="CI42" i="2"/>
  <c r="CG42" i="2"/>
  <c r="CF42" i="2"/>
  <c r="CE42" i="2"/>
  <c r="CH42" i="2" s="1"/>
  <c r="BE42" i="2"/>
  <c r="BC42" i="2"/>
  <c r="AI42" i="2"/>
  <c r="AI44" i="2" s="1"/>
  <c r="AG42" i="2"/>
  <c r="AE42" i="2"/>
  <c r="BA42" i="2" s="1"/>
  <c r="BD42" i="2" s="1"/>
  <c r="AA42" i="2"/>
  <c r="Z42" i="2"/>
  <c r="Y42" i="2"/>
  <c r="X42" i="2"/>
  <c r="W42" i="2"/>
  <c r="EP41" i="2"/>
  <c r="EO41" i="2"/>
  <c r="EN41" i="2"/>
  <c r="EM41" i="2"/>
  <c r="DM41" i="2"/>
  <c r="DK41" i="2"/>
  <c r="DJ41" i="2"/>
  <c r="DI41" i="2"/>
  <c r="DL41" i="2" s="1"/>
  <c r="CI41" i="2"/>
  <c r="CH41" i="2"/>
  <c r="CG41" i="2"/>
  <c r="CF41" i="2"/>
  <c r="BE41" i="2"/>
  <c r="BD41" i="2"/>
  <c r="BC41" i="2"/>
  <c r="BB41" i="2"/>
  <c r="AA41" i="2"/>
  <c r="Z41" i="2"/>
  <c r="Y41" i="2"/>
  <c r="X41" i="2"/>
  <c r="W41" i="2"/>
  <c r="EP40" i="2"/>
  <c r="EO40" i="2"/>
  <c r="EN40" i="2"/>
  <c r="EM40" i="2"/>
  <c r="DM40" i="2"/>
  <c r="DK40" i="2"/>
  <c r="DJ40" i="2"/>
  <c r="ES40" i="2" s="1"/>
  <c r="DC40" i="2"/>
  <c r="DI40" i="2" s="1"/>
  <c r="CC40" i="2"/>
  <c r="CA40" i="2"/>
  <c r="BY40" i="2"/>
  <c r="BW40" i="2"/>
  <c r="BL40" i="2"/>
  <c r="CI40" i="2" s="1"/>
  <c r="BE40" i="2"/>
  <c r="BC40" i="2"/>
  <c r="BB40" i="2"/>
  <c r="BA40" i="2"/>
  <c r="BD40" i="2" s="1"/>
  <c r="AA40" i="2"/>
  <c r="Z40" i="2"/>
  <c r="Y40" i="2"/>
  <c r="X40" i="2"/>
  <c r="W40" i="2"/>
  <c r="EP39" i="2"/>
  <c r="EP44" i="2" s="1"/>
  <c r="EO39" i="2"/>
  <c r="EN39" i="2"/>
  <c r="EN44" i="2" s="1"/>
  <c r="EM39" i="2"/>
  <c r="DM39" i="2"/>
  <c r="DK39" i="2"/>
  <c r="CM39" i="2"/>
  <c r="DJ39" i="2" s="1"/>
  <c r="CI39" i="2"/>
  <c r="CI44" i="2" s="1"/>
  <c r="CG39" i="2"/>
  <c r="CA39" i="2"/>
  <c r="CE39" i="2" s="1"/>
  <c r="BE39" i="2"/>
  <c r="BC39" i="2"/>
  <c r="AK39" i="2"/>
  <c r="AK44" i="2" s="1"/>
  <c r="AG39" i="2"/>
  <c r="AA39" i="2"/>
  <c r="Z39" i="2"/>
  <c r="Z44" i="2" s="1"/>
  <c r="Y39" i="2"/>
  <c r="X39" i="2"/>
  <c r="X44" i="2" s="1"/>
  <c r="W39" i="2"/>
  <c r="W44" i="2" s="1"/>
  <c r="EP38" i="2"/>
  <c r="EO38" i="2"/>
  <c r="EN38" i="2"/>
  <c r="EM38" i="2"/>
  <c r="DM38" i="2"/>
  <c r="DK38" i="2"/>
  <c r="DJ38" i="2"/>
  <c r="DI38" i="2"/>
  <c r="DL38" i="2" s="1"/>
  <c r="CI38" i="2"/>
  <c r="CG38" i="2"/>
  <c r="CF38" i="2"/>
  <c r="CE38" i="2"/>
  <c r="CH38" i="2" s="1"/>
  <c r="BE38" i="2"/>
  <c r="BC38" i="2"/>
  <c r="BB38" i="2"/>
  <c r="BA38" i="2"/>
  <c r="BA43" i="2" s="1"/>
  <c r="AA38" i="2"/>
  <c r="Z38" i="2"/>
  <c r="Y38" i="2"/>
  <c r="X38" i="2"/>
  <c r="W38" i="2"/>
  <c r="EM37" i="2"/>
  <c r="DN37" i="2"/>
  <c r="DH37" i="2"/>
  <c r="ER37" i="2" s="1"/>
  <c r="DG37" i="2"/>
  <c r="DF37" i="2"/>
  <c r="DE37" i="2"/>
  <c r="DD37" i="2"/>
  <c r="DC37" i="2"/>
  <c r="DB37" i="2"/>
  <c r="DA37" i="2"/>
  <c r="CZ37" i="2"/>
  <c r="CY37" i="2"/>
  <c r="CX37" i="2"/>
  <c r="CW37" i="2"/>
  <c r="CV37" i="2"/>
  <c r="CU37" i="2"/>
  <c r="CT37" i="2"/>
  <c r="CS37" i="2"/>
  <c r="CR37" i="2"/>
  <c r="CQ37" i="2"/>
  <c r="CP37" i="2"/>
  <c r="CO37" i="2"/>
  <c r="CN37" i="2"/>
  <c r="CL37" i="2"/>
  <c r="CK37" i="2"/>
  <c r="CJ37" i="2"/>
  <c r="CD37" i="2"/>
  <c r="CC37" i="2"/>
  <c r="CB37" i="2"/>
  <c r="CA37" i="2"/>
  <c r="BZ37" i="2"/>
  <c r="BY37" i="2"/>
  <c r="BX37" i="2"/>
  <c r="BW37" i="2"/>
  <c r="BV37" i="2"/>
  <c r="BU37" i="2"/>
  <c r="BT37" i="2"/>
  <c r="BS37" i="2"/>
  <c r="BR37" i="2"/>
  <c r="BQ37" i="2"/>
  <c r="BP37" i="2"/>
  <c r="BO37" i="2"/>
  <c r="BN37" i="2"/>
  <c r="BM37" i="2"/>
  <c r="BL37" i="2"/>
  <c r="BK37" i="2"/>
  <c r="BJ37" i="2"/>
  <c r="BI37" i="2"/>
  <c r="BH37" i="2"/>
  <c r="BG37" i="2"/>
  <c r="BF37" i="2"/>
  <c r="AZ37" i="2"/>
  <c r="AY37" i="2"/>
  <c r="AX37" i="2"/>
  <c r="AW37" i="2"/>
  <c r="AV37" i="2"/>
  <c r="AU37" i="2"/>
  <c r="AT37" i="2"/>
  <c r="AS37" i="2"/>
  <c r="AR37" i="2"/>
  <c r="AQ37" i="2"/>
  <c r="AP37" i="2"/>
  <c r="AO37" i="2"/>
  <c r="AN37" i="2"/>
  <c r="AM37" i="2"/>
  <c r="AL37" i="2"/>
  <c r="AK37" i="2"/>
  <c r="AJ37" i="2"/>
  <c r="AI37" i="2"/>
  <c r="AH37" i="2"/>
  <c r="AF37" i="2"/>
  <c r="AD37" i="2"/>
  <c r="AC37" i="2"/>
  <c r="AB37" i="2"/>
  <c r="V37" i="2"/>
  <c r="U37" i="2"/>
  <c r="T37" i="2"/>
  <c r="S37" i="2"/>
  <c r="R37" i="2"/>
  <c r="Q37" i="2"/>
  <c r="P37" i="2"/>
  <c r="O37" i="2"/>
  <c r="N37" i="2"/>
  <c r="M37" i="2"/>
  <c r="L37" i="2"/>
  <c r="K37" i="2"/>
  <c r="J37" i="2"/>
  <c r="I37" i="2"/>
  <c r="H37" i="2"/>
  <c r="EP36" i="2"/>
  <c r="EO36" i="2"/>
  <c r="EM36" i="2"/>
  <c r="DH36" i="2"/>
  <c r="ER36" i="2" s="1"/>
  <c r="DG36" i="2"/>
  <c r="DF36" i="2"/>
  <c r="DE36" i="2"/>
  <c r="DD36" i="2"/>
  <c r="DC36" i="2"/>
  <c r="DB36" i="2"/>
  <c r="DA36" i="2"/>
  <c r="CZ36" i="2"/>
  <c r="CY36" i="2"/>
  <c r="CX36" i="2"/>
  <c r="CW36" i="2"/>
  <c r="CV36" i="2"/>
  <c r="CU36" i="2"/>
  <c r="CT36" i="2"/>
  <c r="CS36" i="2"/>
  <c r="CR36" i="2"/>
  <c r="CQ36" i="2"/>
  <c r="CP36" i="2"/>
  <c r="CO36" i="2"/>
  <c r="CN36" i="2"/>
  <c r="CM36" i="2"/>
  <c r="CL36" i="2"/>
  <c r="CK36" i="2"/>
  <c r="CE36" i="2"/>
  <c r="CD36" i="2"/>
  <c r="CC36" i="2"/>
  <c r="CB36" i="2"/>
  <c r="CA36" i="2"/>
  <c r="BZ36" i="2"/>
  <c r="BY36" i="2"/>
  <c r="BX36" i="2"/>
  <c r="BW36" i="2"/>
  <c r="BV36" i="2"/>
  <c r="BU36" i="2"/>
  <c r="BT36" i="2"/>
  <c r="BS36" i="2"/>
  <c r="BR36" i="2"/>
  <c r="BQ36" i="2"/>
  <c r="BP36" i="2"/>
  <c r="BO36" i="2"/>
  <c r="BN36" i="2"/>
  <c r="BM36" i="2"/>
  <c r="BL36" i="2"/>
  <c r="BK36" i="2"/>
  <c r="BJ36" i="2"/>
  <c r="BI36" i="2"/>
  <c r="BH36" i="2"/>
  <c r="BG36" i="2"/>
  <c r="BC36" i="2"/>
  <c r="BE36" i="2" s="1"/>
  <c r="BB36" i="2"/>
  <c r="AA36" i="2"/>
  <c r="Z36" i="2"/>
  <c r="Y36" i="2"/>
  <c r="X36" i="2"/>
  <c r="W36" i="2"/>
  <c r="EP35" i="2"/>
  <c r="EO35" i="2"/>
  <c r="EN35" i="2"/>
  <c r="EM35" i="2"/>
  <c r="DM35" i="2"/>
  <c r="DK35" i="2"/>
  <c r="DJ35" i="2"/>
  <c r="DI35" i="2"/>
  <c r="DL35" i="2" s="1"/>
  <c r="ET35" i="2" s="1"/>
  <c r="CI35" i="2"/>
  <c r="CG35" i="2"/>
  <c r="CF35" i="2"/>
  <c r="CE35" i="2"/>
  <c r="CH35" i="2" s="1"/>
  <c r="BE35" i="2"/>
  <c r="BC35" i="2"/>
  <c r="AG35" i="2"/>
  <c r="AG37" i="2" s="1"/>
  <c r="AE35" i="2"/>
  <c r="AE37" i="2" s="1"/>
  <c r="AA35" i="2"/>
  <c r="Z35" i="2"/>
  <c r="Y35" i="2"/>
  <c r="X35" i="2"/>
  <c r="W35" i="2"/>
  <c r="EP34" i="2"/>
  <c r="EO34" i="2"/>
  <c r="EN34" i="2"/>
  <c r="EM34" i="2"/>
  <c r="DM34" i="2"/>
  <c r="DK34" i="2"/>
  <c r="DJ34" i="2"/>
  <c r="DI34" i="2"/>
  <c r="CI34" i="2"/>
  <c r="CH34" i="2"/>
  <c r="CG34" i="2"/>
  <c r="CF34" i="2"/>
  <c r="BE34" i="2"/>
  <c r="BD34" i="2"/>
  <c r="BC34" i="2"/>
  <c r="BB34" i="2"/>
  <c r="AA34" i="2"/>
  <c r="Z34" i="2"/>
  <c r="Y34" i="2"/>
  <c r="X34" i="2"/>
  <c r="W34" i="2"/>
  <c r="EP33" i="2"/>
  <c r="EO33" i="2"/>
  <c r="EN33" i="2"/>
  <c r="EM33" i="2"/>
  <c r="DM33" i="2"/>
  <c r="DK33" i="2"/>
  <c r="DJ33" i="2"/>
  <c r="DI33" i="2"/>
  <c r="CC33" i="2"/>
  <c r="CA33" i="2"/>
  <c r="BY33" i="2"/>
  <c r="BL33" i="2"/>
  <c r="CI33" i="2" s="1"/>
  <c r="BE33" i="2"/>
  <c r="BC33" i="2"/>
  <c r="AY33" i="2"/>
  <c r="AA33" i="2"/>
  <c r="Z33" i="2"/>
  <c r="Y33" i="2"/>
  <c r="X33" i="2"/>
  <c r="W33" i="2"/>
  <c r="EP32" i="2"/>
  <c r="EP37" i="2" s="1"/>
  <c r="EO32" i="2"/>
  <c r="EO37" i="2" s="1"/>
  <c r="EN32" i="2"/>
  <c r="EN37" i="2" s="1"/>
  <c r="EM32" i="2"/>
  <c r="DM32" i="2"/>
  <c r="DK32" i="2"/>
  <c r="DK37" i="2" s="1"/>
  <c r="CM32" i="2"/>
  <c r="CI32" i="2"/>
  <c r="CI37" i="2" s="1"/>
  <c r="CG32" i="2"/>
  <c r="CF32" i="2"/>
  <c r="CF37" i="2" s="1"/>
  <c r="CE32" i="2"/>
  <c r="BE32" i="2"/>
  <c r="BD32" i="2"/>
  <c r="BC32" i="2"/>
  <c r="BC37" i="2" s="1"/>
  <c r="BB32" i="2"/>
  <c r="BA32" i="2"/>
  <c r="AA32" i="2"/>
  <c r="AA37" i="2" s="1"/>
  <c r="Z32" i="2"/>
  <c r="Z37" i="2" s="1"/>
  <c r="Y32" i="2"/>
  <c r="X32" i="2"/>
  <c r="X37" i="2" s="1"/>
  <c r="W32" i="2"/>
  <c r="W37" i="2" s="1"/>
  <c r="EP31" i="2"/>
  <c r="EO31" i="2"/>
  <c r="EN31" i="2"/>
  <c r="EM31" i="2"/>
  <c r="DK31" i="2"/>
  <c r="DJ31" i="2"/>
  <c r="DI31" i="2"/>
  <c r="CG31" i="2"/>
  <c r="CF31" i="2"/>
  <c r="BC31" i="2"/>
  <c r="BE31" i="2" s="1"/>
  <c r="BB31" i="2"/>
  <c r="BA31" i="2"/>
  <c r="BD31" i="2" s="1"/>
  <c r="AA31" i="2"/>
  <c r="Z31" i="2"/>
  <c r="Y31" i="2"/>
  <c r="X31" i="2"/>
  <c r="W31" i="2"/>
  <c r="G31" i="2"/>
  <c r="G36" i="2" s="1"/>
  <c r="EM30" i="2"/>
  <c r="DN30" i="2"/>
  <c r="DH30" i="2"/>
  <c r="ER30" i="2" s="1"/>
  <c r="DG30" i="2"/>
  <c r="DF30" i="2"/>
  <c r="DE30" i="2"/>
  <c r="DD30" i="2"/>
  <c r="DC30" i="2"/>
  <c r="DB30" i="2"/>
  <c r="DA30" i="2"/>
  <c r="CZ30" i="2"/>
  <c r="CY30" i="2"/>
  <c r="CX30" i="2"/>
  <c r="CW30" i="2"/>
  <c r="CV30" i="2"/>
  <c r="CU30" i="2"/>
  <c r="CT30" i="2"/>
  <c r="CS30" i="2"/>
  <c r="CR30" i="2"/>
  <c r="CQ30" i="2"/>
  <c r="CP30" i="2"/>
  <c r="CO30" i="2"/>
  <c r="CN30" i="2"/>
  <c r="CM30" i="2"/>
  <c r="CL30" i="2"/>
  <c r="CK30" i="2"/>
  <c r="CJ30" i="2"/>
  <c r="CD30" i="2"/>
  <c r="CC30" i="2"/>
  <c r="CB30" i="2"/>
  <c r="CA30" i="2"/>
  <c r="BZ30" i="2"/>
  <c r="BY30" i="2"/>
  <c r="BX30" i="2"/>
  <c r="BW30" i="2"/>
  <c r="BV30" i="2"/>
  <c r="BU30" i="2"/>
  <c r="BT30" i="2"/>
  <c r="BS30" i="2"/>
  <c r="BR30" i="2"/>
  <c r="BQ30" i="2"/>
  <c r="BP30" i="2"/>
  <c r="BO30" i="2"/>
  <c r="BN30" i="2"/>
  <c r="BM30" i="2"/>
  <c r="BL30" i="2"/>
  <c r="BK30" i="2"/>
  <c r="BJ30" i="2"/>
  <c r="BI30" i="2"/>
  <c r="BH30" i="2"/>
  <c r="BG30" i="2"/>
  <c r="BF30" i="2"/>
  <c r="AZ30" i="2"/>
  <c r="AY30" i="2"/>
  <c r="AX30" i="2"/>
  <c r="AW30" i="2"/>
  <c r="AV30" i="2"/>
  <c r="AU30" i="2"/>
  <c r="AT30" i="2"/>
  <c r="AS30" i="2"/>
  <c r="AR30" i="2"/>
  <c r="AQ30" i="2"/>
  <c r="AP30" i="2"/>
  <c r="AO30" i="2"/>
  <c r="AN30" i="2"/>
  <c r="AM30" i="2"/>
  <c r="AL30" i="2"/>
  <c r="AK30" i="2"/>
  <c r="AJ30" i="2"/>
  <c r="AI30" i="2"/>
  <c r="AH30" i="2"/>
  <c r="AG30" i="2"/>
  <c r="AF30" i="2"/>
  <c r="AE30" i="2"/>
  <c r="AD30" i="2"/>
  <c r="AC30" i="2"/>
  <c r="AB30" i="2"/>
  <c r="V30" i="2"/>
  <c r="U30" i="2"/>
  <c r="T30" i="2"/>
  <c r="S30" i="2"/>
  <c r="R30" i="2"/>
  <c r="Q30" i="2"/>
  <c r="P30" i="2"/>
  <c r="O30" i="2"/>
  <c r="N30" i="2"/>
  <c r="M30" i="2"/>
  <c r="L30" i="2"/>
  <c r="K30" i="2"/>
  <c r="J30" i="2"/>
  <c r="I30" i="2"/>
  <c r="H30" i="2"/>
  <c r="EP29" i="2"/>
  <c r="EO29" i="2"/>
  <c r="EM29" i="2"/>
  <c r="DH29" i="2"/>
  <c r="DG29" i="2"/>
  <c r="DF29" i="2"/>
  <c r="DE29" i="2"/>
  <c r="DD29" i="2"/>
  <c r="DC29" i="2"/>
  <c r="DB29" i="2"/>
  <c r="DA29" i="2"/>
  <c r="CZ29" i="2"/>
  <c r="CY29" i="2"/>
  <c r="CX29" i="2"/>
  <c r="CW29" i="2"/>
  <c r="CV29" i="2"/>
  <c r="CU29" i="2"/>
  <c r="CT29" i="2"/>
  <c r="CS29" i="2"/>
  <c r="CR29" i="2"/>
  <c r="CQ29" i="2"/>
  <c r="CP29" i="2"/>
  <c r="CO29" i="2"/>
  <c r="CN29" i="2"/>
  <c r="CM29" i="2"/>
  <c r="CL29" i="2"/>
  <c r="CK29" i="2"/>
  <c r="CD29" i="2"/>
  <c r="CB29" i="2"/>
  <c r="CA29" i="2"/>
  <c r="BZ29" i="2"/>
  <c r="BY29" i="2"/>
  <c r="BX29" i="2"/>
  <c r="BW29" i="2"/>
  <c r="BV29" i="2"/>
  <c r="BU29" i="2"/>
  <c r="BT29" i="2"/>
  <c r="BS29" i="2"/>
  <c r="BR29" i="2"/>
  <c r="BQ29" i="2"/>
  <c r="BP29" i="2"/>
  <c r="BO29" i="2"/>
  <c r="BN29" i="2"/>
  <c r="BM29" i="2"/>
  <c r="BL29" i="2"/>
  <c r="BK29" i="2"/>
  <c r="BJ29" i="2"/>
  <c r="BI29" i="2"/>
  <c r="BH29" i="2"/>
  <c r="BG29" i="2"/>
  <c r="BB29" i="2"/>
  <c r="BA29" i="2"/>
  <c r="BD29" i="2" s="1"/>
  <c r="AN29" i="2"/>
  <c r="BE29" i="2" s="1"/>
  <c r="AA29" i="2"/>
  <c r="Z29" i="2"/>
  <c r="Y29" i="2"/>
  <c r="X29" i="2"/>
  <c r="W29" i="2"/>
  <c r="EP28" i="2"/>
  <c r="EO28" i="2"/>
  <c r="EN28" i="2"/>
  <c r="EM28" i="2"/>
  <c r="DM28" i="2"/>
  <c r="DK28" i="2"/>
  <c r="DJ28" i="2"/>
  <c r="DI28" i="2"/>
  <c r="DL28" i="2" s="1"/>
  <c r="CI28" i="2"/>
  <c r="CG28" i="2"/>
  <c r="CF28" i="2"/>
  <c r="CE28" i="2"/>
  <c r="CH28" i="2" s="1"/>
  <c r="BE28" i="2"/>
  <c r="BC28" i="2"/>
  <c r="BB28" i="2"/>
  <c r="BA28" i="2"/>
  <c r="BD28" i="2" s="1"/>
  <c r="AA28" i="2"/>
  <c r="Z28" i="2"/>
  <c r="Y28" i="2"/>
  <c r="X28" i="2"/>
  <c r="W28" i="2"/>
  <c r="EP27" i="2"/>
  <c r="EO27" i="2"/>
  <c r="EN27" i="2"/>
  <c r="EM27" i="2"/>
  <c r="DM27" i="2"/>
  <c r="DK27" i="2"/>
  <c r="DJ27" i="2"/>
  <c r="DI27" i="2"/>
  <c r="DL27" i="2" s="1"/>
  <c r="CI27" i="2"/>
  <c r="CG27" i="2"/>
  <c r="CF27" i="2"/>
  <c r="CE27" i="2"/>
  <c r="CH27" i="2" s="1"/>
  <c r="BE27" i="2"/>
  <c r="BC27" i="2"/>
  <c r="BB27" i="2"/>
  <c r="BA27" i="2"/>
  <c r="BD27" i="2" s="1"/>
  <c r="AA27" i="2"/>
  <c r="Z27" i="2"/>
  <c r="Y27" i="2"/>
  <c r="X27" i="2"/>
  <c r="W27" i="2"/>
  <c r="EP26" i="2"/>
  <c r="EO26" i="2"/>
  <c r="EN26" i="2"/>
  <c r="EM26" i="2"/>
  <c r="DM26" i="2"/>
  <c r="DK26" i="2"/>
  <c r="DJ26" i="2"/>
  <c r="DI26" i="2"/>
  <c r="CI26" i="2"/>
  <c r="CG26" i="2"/>
  <c r="CC26" i="2"/>
  <c r="BQ26" i="2"/>
  <c r="BE26" i="2"/>
  <c r="BC26" i="2"/>
  <c r="AI26" i="2"/>
  <c r="BB26" i="2" s="1"/>
  <c r="AA26" i="2"/>
  <c r="Z26" i="2"/>
  <c r="Y26" i="2"/>
  <c r="X26" i="2"/>
  <c r="W26" i="2"/>
  <c r="EP25" i="2"/>
  <c r="EP30" i="2" s="1"/>
  <c r="EO25" i="2"/>
  <c r="EN25" i="2"/>
  <c r="EM25" i="2"/>
  <c r="DM25" i="2"/>
  <c r="DM30" i="2" s="1"/>
  <c r="DK25" i="2"/>
  <c r="DK30" i="2" s="1"/>
  <c r="DJ25" i="2"/>
  <c r="DI25" i="2"/>
  <c r="DL25" i="2" s="1"/>
  <c r="CI25" i="2"/>
  <c r="CI30" i="2" s="1"/>
  <c r="CG25" i="2"/>
  <c r="CG30" i="2" s="1"/>
  <c r="CF25" i="2"/>
  <c r="CE25" i="2"/>
  <c r="CH25" i="2" s="1"/>
  <c r="BE25" i="2"/>
  <c r="BC25" i="2"/>
  <c r="BC30" i="2" s="1"/>
  <c r="BB25" i="2"/>
  <c r="BA25" i="2"/>
  <c r="BD25" i="2" s="1"/>
  <c r="BD30" i="2" s="1"/>
  <c r="AA25" i="2"/>
  <c r="Z25" i="2"/>
  <c r="Z30" i="2" s="1"/>
  <c r="Y25" i="2"/>
  <c r="X25" i="2"/>
  <c r="X30" i="2" s="1"/>
  <c r="W25" i="2"/>
  <c r="EP24" i="2"/>
  <c r="EO24" i="2"/>
  <c r="EN24" i="2"/>
  <c r="EM24" i="2"/>
  <c r="DN24" i="2"/>
  <c r="DN29" i="2" s="1"/>
  <c r="DM24" i="2"/>
  <c r="DJ24" i="2"/>
  <c r="DI24" i="2"/>
  <c r="DL24" i="2" s="1"/>
  <c r="CI24" i="2"/>
  <c r="CG24" i="2"/>
  <c r="CC24" i="2"/>
  <c r="CC29" i="2" s="1"/>
  <c r="BE24" i="2"/>
  <c r="BC24" i="2"/>
  <c r="BB24" i="2"/>
  <c r="BA24" i="2"/>
  <c r="BD24" i="2" s="1"/>
  <c r="AA24" i="2"/>
  <c r="Z24" i="2"/>
  <c r="Y24" i="2"/>
  <c r="X24" i="2"/>
  <c r="W24" i="2"/>
  <c r="EM23" i="2"/>
  <c r="DN23" i="2"/>
  <c r="DH23" i="2"/>
  <c r="ER23" i="2" s="1"/>
  <c r="DG23" i="2"/>
  <c r="DF23" i="2"/>
  <c r="DE23" i="2"/>
  <c r="DD23" i="2"/>
  <c r="DC23" i="2"/>
  <c r="DB23" i="2"/>
  <c r="DA23" i="2"/>
  <c r="CZ23" i="2"/>
  <c r="CY23" i="2"/>
  <c r="CX23" i="2"/>
  <c r="CW23" i="2"/>
  <c r="CV23" i="2"/>
  <c r="CU23" i="2"/>
  <c r="CT23" i="2"/>
  <c r="CS23" i="2"/>
  <c r="CR23" i="2"/>
  <c r="CQ23" i="2"/>
  <c r="CP23" i="2"/>
  <c r="CO23" i="2"/>
  <c r="CN23" i="2"/>
  <c r="CM23" i="2"/>
  <c r="CL23" i="2"/>
  <c r="CK23" i="2"/>
  <c r="CJ23" i="2"/>
  <c r="CD23" i="2"/>
  <c r="CC23" i="2"/>
  <c r="CB23" i="2"/>
  <c r="CA23" i="2"/>
  <c r="BZ23" i="2"/>
  <c r="BY23" i="2"/>
  <c r="BX23" i="2"/>
  <c r="BW23" i="2"/>
  <c r="BV23" i="2"/>
  <c r="BU23" i="2"/>
  <c r="BT23" i="2"/>
  <c r="BS23" i="2"/>
  <c r="BR23" i="2"/>
  <c r="BQ23" i="2"/>
  <c r="BP23" i="2"/>
  <c r="BO23" i="2"/>
  <c r="BN23" i="2"/>
  <c r="BM23" i="2"/>
  <c r="BL23" i="2"/>
  <c r="BK23" i="2"/>
  <c r="BJ23" i="2"/>
  <c r="BI23" i="2"/>
  <c r="BH23" i="2"/>
  <c r="BG23" i="2"/>
  <c r="BF23" i="2"/>
  <c r="AZ23" i="2"/>
  <c r="AY23" i="2"/>
  <c r="AX23" i="2"/>
  <c r="AW23" i="2"/>
  <c r="AV23" i="2"/>
  <c r="AU23" i="2"/>
  <c r="AT23" i="2"/>
  <c r="AS23" i="2"/>
  <c r="AR23" i="2"/>
  <c r="AQ23" i="2"/>
  <c r="AP23" i="2"/>
  <c r="AO23" i="2"/>
  <c r="AN23" i="2"/>
  <c r="AM23" i="2"/>
  <c r="AL23" i="2"/>
  <c r="AJ23" i="2"/>
  <c r="AH23" i="2"/>
  <c r="AF23" i="2"/>
  <c r="AE23" i="2"/>
  <c r="AD23" i="2"/>
  <c r="AC23" i="2"/>
  <c r="AB23" i="2"/>
  <c r="V23" i="2"/>
  <c r="U23" i="2"/>
  <c r="T23" i="2"/>
  <c r="S23" i="2"/>
  <c r="R23" i="2"/>
  <c r="Q23" i="2"/>
  <c r="P23" i="2"/>
  <c r="O23" i="2"/>
  <c r="N23" i="2"/>
  <c r="M23" i="2"/>
  <c r="L23" i="2"/>
  <c r="K23" i="2"/>
  <c r="J23" i="2"/>
  <c r="I23" i="2"/>
  <c r="H23" i="2"/>
  <c r="EP22" i="2"/>
  <c r="EO22" i="2"/>
  <c r="EN22" i="2"/>
  <c r="EM22" i="2"/>
  <c r="DN22" i="2"/>
  <c r="DH22" i="2"/>
  <c r="DG22" i="2"/>
  <c r="DF22" i="2"/>
  <c r="DE22" i="2"/>
  <c r="DD22" i="2"/>
  <c r="DC22" i="2"/>
  <c r="DB22" i="2"/>
  <c r="DA22" i="2"/>
  <c r="CZ22" i="2"/>
  <c r="CY22" i="2"/>
  <c r="CX22" i="2"/>
  <c r="CW22" i="2"/>
  <c r="CV22" i="2"/>
  <c r="CU22" i="2"/>
  <c r="CT22" i="2"/>
  <c r="CS22" i="2"/>
  <c r="CR22" i="2"/>
  <c r="CQ22" i="2"/>
  <c r="CP22" i="2"/>
  <c r="CO22" i="2"/>
  <c r="CN22" i="2"/>
  <c r="CM22" i="2"/>
  <c r="CL22" i="2"/>
  <c r="CK22" i="2"/>
  <c r="CD22" i="2"/>
  <c r="CC22" i="2"/>
  <c r="CB22" i="2"/>
  <c r="CA22" i="2"/>
  <c r="BZ22" i="2"/>
  <c r="BY22" i="2"/>
  <c r="BX22" i="2"/>
  <c r="BW22" i="2"/>
  <c r="BV22" i="2"/>
  <c r="BU22" i="2"/>
  <c r="BT22" i="2"/>
  <c r="BS22" i="2"/>
  <c r="BR22" i="2"/>
  <c r="BQ22" i="2"/>
  <c r="BP22" i="2"/>
  <c r="BO22" i="2"/>
  <c r="BN22" i="2"/>
  <c r="BM22" i="2"/>
  <c r="BL22" i="2"/>
  <c r="BK22" i="2"/>
  <c r="BJ22" i="2"/>
  <c r="BI22" i="2"/>
  <c r="BH22" i="2"/>
  <c r="BG22" i="2"/>
  <c r="BB22" i="2"/>
  <c r="BA22" i="2"/>
  <c r="BD22" i="2" s="1"/>
  <c r="AN22" i="2"/>
  <c r="BC22" i="2" s="1"/>
  <c r="AA22" i="2"/>
  <c r="Z22" i="2"/>
  <c r="Y22" i="2"/>
  <c r="X22" i="2"/>
  <c r="W22" i="2"/>
  <c r="EP21" i="2"/>
  <c r="EO21" i="2"/>
  <c r="EN21" i="2"/>
  <c r="EM21" i="2"/>
  <c r="DM21" i="2"/>
  <c r="DK21" i="2"/>
  <c r="DJ21" i="2"/>
  <c r="DI21" i="2"/>
  <c r="DL21" i="2" s="1"/>
  <c r="CI21" i="2"/>
  <c r="CH21" i="2"/>
  <c r="CG21" i="2"/>
  <c r="CF21" i="2"/>
  <c r="CE21" i="2"/>
  <c r="BE21" i="2"/>
  <c r="BC21" i="2"/>
  <c r="AI21" i="2"/>
  <c r="AG21" i="2"/>
  <c r="AA21" i="2"/>
  <c r="Z21" i="2"/>
  <c r="Y21" i="2"/>
  <c r="X21" i="2"/>
  <c r="W21" i="2"/>
  <c r="EP20" i="2"/>
  <c r="EO20" i="2"/>
  <c r="EN20" i="2"/>
  <c r="EM20" i="2"/>
  <c r="DM20" i="2"/>
  <c r="DK20" i="2"/>
  <c r="DJ20" i="2"/>
  <c r="DI20" i="2"/>
  <c r="DL20" i="2" s="1"/>
  <c r="CI20" i="2"/>
  <c r="CG20" i="2"/>
  <c r="CF20" i="2"/>
  <c r="CE20" i="2"/>
  <c r="CH20" i="2" s="1"/>
  <c r="BE20" i="2"/>
  <c r="BC20" i="2"/>
  <c r="BB20" i="2"/>
  <c r="BA20" i="2"/>
  <c r="BD20" i="2" s="1"/>
  <c r="AA20" i="2"/>
  <c r="Z20" i="2"/>
  <c r="Y20" i="2"/>
  <c r="X20" i="2"/>
  <c r="W20" i="2"/>
  <c r="EP19" i="2"/>
  <c r="EO19" i="2"/>
  <c r="EN19" i="2"/>
  <c r="EM19" i="2"/>
  <c r="DM19" i="2"/>
  <c r="DL19" i="2"/>
  <c r="DK19" i="2"/>
  <c r="DJ19" i="2"/>
  <c r="CC19" i="2"/>
  <c r="CE19" i="2" s="1"/>
  <c r="CH19" i="2" s="1"/>
  <c r="BL19" i="2"/>
  <c r="CI19" i="2" s="1"/>
  <c r="BE19" i="2"/>
  <c r="BC19" i="2"/>
  <c r="AI19" i="2"/>
  <c r="BB19" i="2" s="1"/>
  <c r="AA19" i="2"/>
  <c r="Z19" i="2"/>
  <c r="Y19" i="2"/>
  <c r="X19" i="2"/>
  <c r="W19" i="2"/>
  <c r="EP18" i="2"/>
  <c r="EO18" i="2"/>
  <c r="EN18" i="2"/>
  <c r="EM18" i="2"/>
  <c r="DM18" i="2"/>
  <c r="DM23" i="2" s="1"/>
  <c r="DK18" i="2"/>
  <c r="DJ18" i="2"/>
  <c r="DJ23" i="2" s="1"/>
  <c r="DI18" i="2"/>
  <c r="DL18" i="2" s="1"/>
  <c r="DL23" i="2" s="1"/>
  <c r="CI18" i="2"/>
  <c r="CI23" i="2" s="1"/>
  <c r="CG18" i="2"/>
  <c r="CF18" i="2"/>
  <c r="CF23" i="2" s="1"/>
  <c r="CE18" i="2"/>
  <c r="CE23" i="2" s="1"/>
  <c r="BE18" i="2"/>
  <c r="BC18" i="2"/>
  <c r="BC23" i="2" s="1"/>
  <c r="AK18" i="2"/>
  <c r="AI18" i="2"/>
  <c r="AI23" i="2" s="1"/>
  <c r="AG18" i="2"/>
  <c r="AG23" i="2" s="1"/>
  <c r="AA18" i="2"/>
  <c r="Z18" i="2"/>
  <c r="Y18" i="2"/>
  <c r="X18" i="2"/>
  <c r="W18" i="2"/>
  <c r="EP17" i="2"/>
  <c r="EO17" i="2"/>
  <c r="EN17" i="2"/>
  <c r="EM17" i="2"/>
  <c r="DM17" i="2"/>
  <c r="DK17" i="2"/>
  <c r="DJ17" i="2"/>
  <c r="DI17" i="2"/>
  <c r="DL17" i="2" s="1"/>
  <c r="CI17" i="2"/>
  <c r="CG17" i="2"/>
  <c r="CF17" i="2"/>
  <c r="CE17" i="2"/>
  <c r="CH17" i="2" s="1"/>
  <c r="BE17" i="2"/>
  <c r="BC17" i="2"/>
  <c r="BB17" i="2"/>
  <c r="BA17" i="2"/>
  <c r="BD17" i="2" s="1"/>
  <c r="AA17" i="2"/>
  <c r="Z17" i="2"/>
  <c r="Y17" i="2"/>
  <c r="X17" i="2"/>
  <c r="W17" i="2"/>
  <c r="EM16" i="2"/>
  <c r="DH16" i="2"/>
  <c r="DF16" i="2"/>
  <c r="DE16" i="2"/>
  <c r="DD16" i="2"/>
  <c r="DC16" i="2"/>
  <c r="DB16" i="2"/>
  <c r="DA16" i="2"/>
  <c r="CZ16" i="2"/>
  <c r="CY16" i="2"/>
  <c r="CX16" i="2"/>
  <c r="CV16" i="2"/>
  <c r="CT16" i="2"/>
  <c r="CS16" i="2"/>
  <c r="CR16" i="2"/>
  <c r="CQ16" i="2"/>
  <c r="CP16" i="2"/>
  <c r="CO16" i="2"/>
  <c r="CN16" i="2"/>
  <c r="CM16" i="2"/>
  <c r="CL16" i="2"/>
  <c r="CK16" i="2"/>
  <c r="CJ16" i="2"/>
  <c r="CD16" i="2"/>
  <c r="CC16" i="2"/>
  <c r="CB16" i="2"/>
  <c r="CA16" i="2"/>
  <c r="BZ16" i="2"/>
  <c r="BY16" i="2"/>
  <c r="BX16" i="2"/>
  <c r="BW16" i="2"/>
  <c r="BV16" i="2"/>
  <c r="BU16" i="2"/>
  <c r="BT16" i="2"/>
  <c r="BS16" i="2"/>
  <c r="BR16" i="2"/>
  <c r="BQ16" i="2"/>
  <c r="BP16" i="2"/>
  <c r="BO16" i="2"/>
  <c r="BN16" i="2"/>
  <c r="BM16" i="2"/>
  <c r="BL16" i="2"/>
  <c r="BJ16" i="2"/>
  <c r="BI16" i="2"/>
  <c r="BH16" i="2"/>
  <c r="BG16" i="2"/>
  <c r="BF16" i="2"/>
  <c r="AZ16" i="2"/>
  <c r="AY16" i="2"/>
  <c r="AX16" i="2"/>
  <c r="AW16" i="2"/>
  <c r="AV16" i="2"/>
  <c r="AT16" i="2"/>
  <c r="AS16" i="2"/>
  <c r="AR16" i="2"/>
  <c r="AQ16" i="2"/>
  <c r="AP16" i="2"/>
  <c r="AO16" i="2"/>
  <c r="AN16" i="2"/>
  <c r="AM16" i="2"/>
  <c r="AL16" i="2"/>
  <c r="AK16" i="2"/>
  <c r="AJ16" i="2"/>
  <c r="AH16" i="2"/>
  <c r="AF16" i="2"/>
  <c r="AD16" i="2"/>
  <c r="AC16" i="2"/>
  <c r="AB16" i="2"/>
  <c r="V16" i="2"/>
  <c r="U16" i="2"/>
  <c r="T16" i="2"/>
  <c r="S16" i="2"/>
  <c r="R16" i="2"/>
  <c r="Q16" i="2"/>
  <c r="P16" i="2"/>
  <c r="O16" i="2"/>
  <c r="N16" i="2"/>
  <c r="M16" i="2"/>
  <c r="L16" i="2"/>
  <c r="K16" i="2"/>
  <c r="J16" i="2"/>
  <c r="I16" i="2"/>
  <c r="H16" i="2"/>
  <c r="DH15" i="2"/>
  <c r="ER15" i="2" s="1"/>
  <c r="DG15" i="2"/>
  <c r="DF15" i="2"/>
  <c r="DE15" i="2"/>
  <c r="DD15" i="2"/>
  <c r="DC15" i="2"/>
  <c r="DB15" i="2"/>
  <c r="DA15" i="2"/>
  <c r="CZ15" i="2"/>
  <c r="CY15" i="2"/>
  <c r="CX15" i="2"/>
  <c r="CW15" i="2"/>
  <c r="CV15" i="2"/>
  <c r="CU15" i="2"/>
  <c r="CT15" i="2"/>
  <c r="CS15" i="2"/>
  <c r="CR15" i="2"/>
  <c r="CQ15" i="2"/>
  <c r="CP15" i="2"/>
  <c r="CO15" i="2"/>
  <c r="CN15" i="2"/>
  <c r="CM15" i="2"/>
  <c r="CL15" i="2"/>
  <c r="CK15" i="2"/>
  <c r="CD15" i="2"/>
  <c r="CC15" i="2"/>
  <c r="CB15" i="2"/>
  <c r="CA15" i="2"/>
  <c r="BZ15" i="2"/>
  <c r="BY15" i="2"/>
  <c r="BX15" i="2"/>
  <c r="BW15" i="2"/>
  <c r="BV15" i="2"/>
  <c r="BU15" i="2"/>
  <c r="BT15" i="2"/>
  <c r="BS15" i="2"/>
  <c r="BR15" i="2"/>
  <c r="BQ15" i="2"/>
  <c r="BP15" i="2"/>
  <c r="BO15" i="2"/>
  <c r="BN15" i="2"/>
  <c r="BM15" i="2"/>
  <c r="BL15" i="2"/>
  <c r="BK15" i="2"/>
  <c r="BJ15" i="2"/>
  <c r="BI15" i="2"/>
  <c r="BH15" i="2"/>
  <c r="BG15" i="2"/>
  <c r="BD15" i="2"/>
  <c r="BB15" i="2"/>
  <c r="BA15" i="2"/>
  <c r="AN15" i="2"/>
  <c r="BC15" i="2" s="1"/>
  <c r="AA15" i="2"/>
  <c r="Z15" i="2"/>
  <c r="Y15" i="2"/>
  <c r="X15" i="2"/>
  <c r="W15" i="2"/>
  <c r="EP14" i="2"/>
  <c r="EO14" i="2"/>
  <c r="EN14" i="2"/>
  <c r="EM14" i="2"/>
  <c r="DM14" i="2"/>
  <c r="DK14" i="2"/>
  <c r="CU14" i="2"/>
  <c r="CU81" i="2" s="1"/>
  <c r="CI14" i="2"/>
  <c r="CG14" i="2"/>
  <c r="CF14" i="2"/>
  <c r="CE14" i="2"/>
  <c r="CH14" i="2" s="1"/>
  <c r="BE14" i="2"/>
  <c r="BC14" i="2"/>
  <c r="AG14" i="2"/>
  <c r="AG81" i="2" s="1"/>
  <c r="AE14" i="2"/>
  <c r="AE16" i="2" s="1"/>
  <c r="AA14" i="2"/>
  <c r="Z14" i="2"/>
  <c r="Y14" i="2"/>
  <c r="X14" i="2"/>
  <c r="W14" i="2"/>
  <c r="EP13" i="2"/>
  <c r="EO13" i="2"/>
  <c r="EN13" i="2"/>
  <c r="DM13" i="2"/>
  <c r="DK13" i="2"/>
  <c r="DJ13" i="2"/>
  <c r="DI13" i="2"/>
  <c r="DL13" i="2" s="1"/>
  <c r="CI13" i="2"/>
  <c r="CG13" i="2"/>
  <c r="CF13" i="2"/>
  <c r="CE13" i="2"/>
  <c r="CH13" i="2" s="1"/>
  <c r="BE13" i="2"/>
  <c r="BC13" i="2"/>
  <c r="BB13" i="2"/>
  <c r="BA13" i="2"/>
  <c r="BD13" i="2" s="1"/>
  <c r="AA13" i="2"/>
  <c r="Z13" i="2"/>
  <c r="Y13" i="2"/>
  <c r="X13" i="2"/>
  <c r="W13" i="2"/>
  <c r="EP12" i="2"/>
  <c r="EO12" i="2"/>
  <c r="EN12" i="2"/>
  <c r="EM12" i="2"/>
  <c r="DM12" i="2"/>
  <c r="DK12" i="2"/>
  <c r="DJ12" i="2"/>
  <c r="DL12" i="2"/>
  <c r="CH12" i="2"/>
  <c r="CA12" i="2"/>
  <c r="CF12" i="2" s="1"/>
  <c r="BL12" i="2"/>
  <c r="CI12" i="2" s="1"/>
  <c r="BE12" i="2"/>
  <c r="BC12" i="2"/>
  <c r="AI12" i="2"/>
  <c r="BB12" i="2" s="1"/>
  <c r="AA12" i="2"/>
  <c r="Z12" i="2"/>
  <c r="Y12" i="2"/>
  <c r="X12" i="2"/>
  <c r="W12" i="2"/>
  <c r="EP11" i="2"/>
  <c r="EP16" i="2" s="1"/>
  <c r="EO11" i="2"/>
  <c r="EN11" i="2"/>
  <c r="EN16" i="2" s="1"/>
  <c r="EM11" i="2"/>
  <c r="DM11" i="2"/>
  <c r="DK11" i="2"/>
  <c r="DK16" i="2" s="1"/>
  <c r="DG11" i="2"/>
  <c r="CW11" i="2"/>
  <c r="CI11" i="2"/>
  <c r="CG11" i="2"/>
  <c r="BK11" i="2"/>
  <c r="BK16" i="2" s="1"/>
  <c r="BE11" i="2"/>
  <c r="BC11" i="2"/>
  <c r="AU11" i="2"/>
  <c r="AU16" i="2" s="1"/>
  <c r="AI11" i="2"/>
  <c r="AG11" i="2"/>
  <c r="AA11" i="2"/>
  <c r="AA80" i="2" s="1"/>
  <c r="Z11" i="2"/>
  <c r="Y11" i="2"/>
  <c r="X11" i="2"/>
  <c r="W11" i="2"/>
  <c r="EO10" i="2"/>
  <c r="EO15" i="2" s="1"/>
  <c r="EN10" i="2"/>
  <c r="EN15" i="2" s="1"/>
  <c r="EM10" i="2"/>
  <c r="EP10" i="2" s="1"/>
  <c r="EP15" i="2" s="1"/>
  <c r="DM10" i="2"/>
  <c r="ET10" i="2" s="1"/>
  <c r="DL10" i="2"/>
  <c r="DK10" i="2"/>
  <c r="ES10" i="2" s="1"/>
  <c r="DJ10" i="2"/>
  <c r="CI10" i="2"/>
  <c r="CG10" i="2"/>
  <c r="CF10" i="2"/>
  <c r="CE10" i="2"/>
  <c r="CH10" i="2" s="1"/>
  <c r="BE10" i="2"/>
  <c r="BC10" i="2"/>
  <c r="BB10" i="2"/>
  <c r="BA10" i="2"/>
  <c r="BD10" i="2" s="1"/>
  <c r="AA10" i="2"/>
  <c r="Z10" i="2"/>
  <c r="Y10" i="2"/>
  <c r="X10" i="2"/>
  <c r="W10" i="2"/>
  <c r="DN17" i="1"/>
  <c r="DL17" i="1"/>
  <c r="EU17" i="1" s="1"/>
  <c r="DK17" i="1"/>
  <c r="DO17" i="1"/>
  <c r="CK17" i="1"/>
  <c r="CI17" i="1"/>
  <c r="CE17" i="1"/>
  <c r="CH17" i="1" s="1"/>
  <c r="BG17" i="1"/>
  <c r="BF17" i="1"/>
  <c r="BE17" i="1"/>
  <c r="BD17" i="1"/>
  <c r="BC17" i="1"/>
  <c r="AC17" i="1"/>
  <c r="Z17" i="1"/>
  <c r="J17" i="1"/>
  <c r="I17" i="1" s="1"/>
  <c r="DO16" i="1"/>
  <c r="EV16" i="1" s="1"/>
  <c r="DN16" i="1"/>
  <c r="DM16" i="1"/>
  <c r="DL16" i="1"/>
  <c r="DK16" i="1"/>
  <c r="CK16" i="1"/>
  <c r="CJ16" i="1"/>
  <c r="CI16" i="1"/>
  <c r="CH16" i="1"/>
  <c r="CG16" i="1"/>
  <c r="BG16" i="1"/>
  <c r="BF16" i="1"/>
  <c r="BE16" i="1"/>
  <c r="BD16" i="1"/>
  <c r="BC16" i="1"/>
  <c r="AC16" i="1"/>
  <c r="Z16" i="1"/>
  <c r="J16" i="1"/>
  <c r="DO15" i="1"/>
  <c r="DN15" i="1"/>
  <c r="DM15" i="1"/>
  <c r="EU15" i="1" s="1"/>
  <c r="DL15" i="1"/>
  <c r="DK15" i="1"/>
  <c r="CK15" i="1"/>
  <c r="CJ15" i="1"/>
  <c r="CI15" i="1"/>
  <c r="CH15" i="1"/>
  <c r="CG15" i="1"/>
  <c r="BG15" i="1"/>
  <c r="BF15" i="1"/>
  <c r="BE15" i="1"/>
  <c r="BD15" i="1"/>
  <c r="BC15" i="1"/>
  <c r="AC15" i="1"/>
  <c r="Z15" i="1"/>
  <c r="J15" i="1"/>
  <c r="DO14" i="1"/>
  <c r="EV14" i="1" s="1"/>
  <c r="DN14" i="1"/>
  <c r="DM14" i="1"/>
  <c r="DL14" i="1"/>
  <c r="DK14" i="1"/>
  <c r="CK14" i="1"/>
  <c r="CJ14" i="1"/>
  <c r="CI14" i="1"/>
  <c r="CH14" i="1"/>
  <c r="CG14" i="1"/>
  <c r="BG14" i="1"/>
  <c r="BF14" i="1"/>
  <c r="BE14" i="1"/>
  <c r="BD14" i="1"/>
  <c r="BC14" i="1"/>
  <c r="AC14" i="1"/>
  <c r="Z14" i="1"/>
  <c r="J14" i="1"/>
  <c r="DO13" i="1"/>
  <c r="DN13" i="1"/>
  <c r="DM13" i="1"/>
  <c r="EU13" i="1" s="1"/>
  <c r="DL13" i="1"/>
  <c r="DK13" i="1"/>
  <c r="CK13" i="1"/>
  <c r="CJ13" i="1"/>
  <c r="CI13" i="1"/>
  <c r="CH13" i="1"/>
  <c r="CG13" i="1"/>
  <c r="BG13" i="1"/>
  <c r="BF13" i="1"/>
  <c r="BE13" i="1"/>
  <c r="BD13" i="1"/>
  <c r="BC13" i="1"/>
  <c r="AC13" i="1"/>
  <c r="Z13" i="1"/>
  <c r="J13" i="1"/>
  <c r="CE33" i="2" l="1"/>
  <c r="CH33" i="2" s="1"/>
  <c r="BA53" i="2"/>
  <c r="BD53" i="2" s="1"/>
  <c r="ET68" i="2"/>
  <c r="BB75" i="2"/>
  <c r="DJ77" i="2"/>
  <c r="DJ79" i="2" s="1"/>
  <c r="EU14" i="1"/>
  <c r="DG80" i="2"/>
  <c r="DG82" i="2" s="1"/>
  <c r="ER11" i="2"/>
  <c r="ER22" i="2"/>
  <c r="CE29" i="2"/>
  <c r="CH29" i="2" s="1"/>
  <c r="EV34" i="2"/>
  <c r="AA44" i="2"/>
  <c r="ER43" i="2"/>
  <c r="ER57" i="2"/>
  <c r="O82" i="2"/>
  <c r="CN82" i="2"/>
  <c r="EV13" i="1"/>
  <c r="EW13" i="1"/>
  <c r="EX17" i="1"/>
  <c r="ES16" i="2"/>
  <c r="ES13" i="2"/>
  <c r="AA23" i="2"/>
  <c r="EO23" i="2"/>
  <c r="BB30" i="2"/>
  <c r="DJ30" i="2"/>
  <c r="BE46" i="2"/>
  <c r="BE51" i="2" s="1"/>
  <c r="ER51" i="2"/>
  <c r="DG58" i="2"/>
  <c r="ER58" i="2" s="1"/>
  <c r="ER53" i="2"/>
  <c r="DL72" i="2"/>
  <c r="EV17" i="1"/>
  <c r="EU10" i="2"/>
  <c r="W16" i="2"/>
  <c r="CE40" i="2"/>
  <c r="CH40" i="2" s="1"/>
  <c r="EU40" i="2" s="1"/>
  <c r="DJ50" i="2"/>
  <c r="ER64" i="2"/>
  <c r="ER65" i="2"/>
  <c r="ET13" i="2"/>
  <c r="CG54" i="2"/>
  <c r="CR82" i="2"/>
  <c r="DA82" i="2"/>
  <c r="BA35" i="2"/>
  <c r="BD35" i="2" s="1"/>
  <c r="BD37" i="2" s="1"/>
  <c r="EN58" i="2"/>
  <c r="Y72" i="2"/>
  <c r="G73" i="2"/>
  <c r="G78" i="2" s="1"/>
  <c r="BA12" i="2"/>
  <c r="BD12" i="2" s="1"/>
  <c r="DI14" i="2"/>
  <c r="CF19" i="2"/>
  <c r="ER29" i="2"/>
  <c r="CI31" i="2"/>
  <c r="DM31" i="2" s="1"/>
  <c r="DL34" i="2"/>
  <c r="ET34" i="2" s="1"/>
  <c r="Z51" i="2"/>
  <c r="ES66" i="2"/>
  <c r="G67" i="2"/>
  <c r="ER72" i="2"/>
  <c r="CW80" i="2"/>
  <c r="CW82" i="2" s="1"/>
  <c r="AA81" i="2"/>
  <c r="Z23" i="2"/>
  <c r="EV19" i="2"/>
  <c r="DK22" i="2"/>
  <c r="CF24" i="2"/>
  <c r="BA26" i="2"/>
  <c r="BD26" i="2" s="1"/>
  <c r="ES27" i="2"/>
  <c r="ET28" i="2"/>
  <c r="CG36" i="2"/>
  <c r="CI36" i="2" s="1"/>
  <c r="DI39" i="2"/>
  <c r="DL39" i="2" s="1"/>
  <c r="ET39" i="2" s="1"/>
  <c r="CI43" i="2"/>
  <c r="BA46" i="2"/>
  <c r="BD46" i="2" s="1"/>
  <c r="EU46" i="2" s="1"/>
  <c r="BC47" i="2"/>
  <c r="EU48" i="2"/>
  <c r="CG65" i="2"/>
  <c r="ES69" i="2"/>
  <c r="AA82" i="2"/>
  <c r="G10" i="2"/>
  <c r="G15" i="2" s="1"/>
  <c r="BA11" i="2"/>
  <c r="DJ22" i="2"/>
  <c r="DL30" i="2"/>
  <c r="ES31" i="2"/>
  <c r="Y37" i="2"/>
  <c r="ES34" i="2"/>
  <c r="ES39" i="2"/>
  <c r="BB46" i="2"/>
  <c r="DK50" i="2"/>
  <c r="DJ57" i="2"/>
  <c r="ET66" i="2"/>
  <c r="W79" i="2"/>
  <c r="AI79" i="2"/>
  <c r="CV82" i="2"/>
  <c r="BD45" i="2"/>
  <c r="BD50" i="2" s="1"/>
  <c r="DI51" i="2"/>
  <c r="BE44" i="2"/>
  <c r="AG44" i="2"/>
  <c r="W58" i="2"/>
  <c r="BD59" i="2"/>
  <c r="BD64" i="2" s="1"/>
  <c r="G66" i="2"/>
  <c r="G71" i="2" s="1"/>
  <c r="CH66" i="2"/>
  <c r="CH71" i="2" s="1"/>
  <c r="EO72" i="2"/>
  <c r="CE74" i="2"/>
  <c r="CH74" i="2" s="1"/>
  <c r="ES76" i="2"/>
  <c r="AM82" i="2"/>
  <c r="EX15" i="1"/>
  <c r="CG12" i="2"/>
  <c r="BE81" i="2"/>
  <c r="BA18" i="2"/>
  <c r="W30" i="2"/>
  <c r="ET30" i="2"/>
  <c r="EV27" i="2"/>
  <c r="ET38" i="2"/>
  <c r="Y44" i="2"/>
  <c r="AE44" i="2"/>
  <c r="EN51" i="2"/>
  <c r="DM57" i="2"/>
  <c r="DK64" i="2"/>
  <c r="CH72" i="2"/>
  <c r="EN72" i="2"/>
  <c r="EV68" i="2"/>
  <c r="DJ15" i="2"/>
  <c r="W23" i="2"/>
  <c r="DK23" i="2"/>
  <c r="BA21" i="2"/>
  <c r="BD21" i="2" s="1"/>
  <c r="EU21" i="2" s="1"/>
  <c r="DJ29" i="2"/>
  <c r="CH43" i="2"/>
  <c r="CG44" i="2"/>
  <c r="EO44" i="2"/>
  <c r="CF43" i="2"/>
  <c r="Y51" i="2"/>
  <c r="BD52" i="2"/>
  <c r="BD57" i="2" s="1"/>
  <c r="CE54" i="2"/>
  <c r="CH54" i="2" s="1"/>
  <c r="CG58" i="2"/>
  <c r="CH64" i="2"/>
  <c r="DJ64" i="2"/>
  <c r="Z79" i="2"/>
  <c r="BH82" i="2"/>
  <c r="BR82" i="2"/>
  <c r="BZ82" i="2"/>
  <c r="Z16" i="2"/>
  <c r="CG16" i="2"/>
  <c r="EO16" i="2"/>
  <c r="Y81" i="2"/>
  <c r="DM15" i="2"/>
  <c r="BE23" i="2"/>
  <c r="EN30" i="2"/>
  <c r="BC44" i="2"/>
  <c r="CI64" i="2"/>
  <c r="ES70" i="2"/>
  <c r="BA75" i="2"/>
  <c r="BD75" i="2" s="1"/>
  <c r="CZ82" i="2"/>
  <c r="CJ17" i="1"/>
  <c r="EW17" i="1" s="1"/>
  <c r="EV12" i="2"/>
  <c r="EU13" i="2"/>
  <c r="CG15" i="2"/>
  <c r="DK15" i="2"/>
  <c r="AI16" i="2"/>
  <c r="CW16" i="2"/>
  <c r="Y23" i="2"/>
  <c r="CE22" i="2"/>
  <c r="CH22" i="2" s="1"/>
  <c r="ET27" i="2"/>
  <c r="Y30" i="2"/>
  <c r="CF30" i="2"/>
  <c r="CF29" i="2"/>
  <c r="DK29" i="2"/>
  <c r="ES29" i="2" s="1"/>
  <c r="DM29" i="2"/>
  <c r="CG33" i="2"/>
  <c r="BE37" i="2"/>
  <c r="CF36" i="2"/>
  <c r="DJ36" i="2"/>
  <c r="DI36" i="2"/>
  <c r="BB39" i="2"/>
  <c r="CE44" i="2"/>
  <c r="CH39" i="2"/>
  <c r="CH44" i="2" s="1"/>
  <c r="EV40" i="2"/>
  <c r="BC46" i="2"/>
  <c r="BC51" i="2" s="1"/>
  <c r="ET55" i="2"/>
  <c r="EX14" i="1"/>
  <c r="DJ14" i="2"/>
  <c r="ES14" i="2" s="1"/>
  <c r="AA16" i="2"/>
  <c r="ES17" i="2"/>
  <c r="EP23" i="2"/>
  <c r="BE22" i="2"/>
  <c r="CI22" i="2"/>
  <c r="ES24" i="2"/>
  <c r="CF26" i="2"/>
  <c r="ES28" i="2"/>
  <c r="DI29" i="2"/>
  <c r="DL29" i="2" s="1"/>
  <c r="DM37" i="2"/>
  <c r="EW15" i="1"/>
  <c r="BB11" i="2"/>
  <c r="DJ11" i="2"/>
  <c r="DJ16" i="2" s="1"/>
  <c r="BE15" i="2"/>
  <c r="CU16" i="2"/>
  <c r="G21" i="2"/>
  <c r="EV21" i="2" s="1"/>
  <c r="EO30" i="2"/>
  <c r="BA30" i="2"/>
  <c r="DI30" i="2"/>
  <c r="DI43" i="2"/>
  <c r="DL43" i="2" s="1"/>
  <c r="CI47" i="2"/>
  <c r="CC80" i="2"/>
  <c r="CC82" i="2" s="1"/>
  <c r="CC58" i="2"/>
  <c r="EX16" i="1"/>
  <c r="CF15" i="2"/>
  <c r="CE15" i="2"/>
  <c r="CH15" i="2" s="1"/>
  <c r="ES20" i="2"/>
  <c r="X23" i="2"/>
  <c r="DM22" i="2"/>
  <c r="CE24" i="2"/>
  <c r="CH24" i="2" s="1"/>
  <c r="EU24" i="2" s="1"/>
  <c r="ET24" i="2"/>
  <c r="EU28" i="2"/>
  <c r="CG29" i="2"/>
  <c r="CI29" i="2"/>
  <c r="CG37" i="2"/>
  <c r="ES35" i="2"/>
  <c r="BA39" i="2"/>
  <c r="BA44" i="2" s="1"/>
  <c r="CA44" i="2"/>
  <c r="CF39" i="2"/>
  <c r="CF44" i="2" s="1"/>
  <c r="CE43" i="2"/>
  <c r="DI50" i="2"/>
  <c r="DL50" i="2" s="1"/>
  <c r="CF40" i="2"/>
  <c r="ES41" i="2"/>
  <c r="G42" i="2"/>
  <c r="EV42" i="2" s="1"/>
  <c r="DK44" i="2"/>
  <c r="CH51" i="2"/>
  <c r="DM51" i="2"/>
  <c r="ET48" i="2"/>
  <c r="ES50" i="2"/>
  <c r="EV55" i="2"/>
  <c r="EU55" i="2"/>
  <c r="DE58" i="2"/>
  <c r="EP65" i="2"/>
  <c r="W72" i="2"/>
  <c r="CG72" i="2"/>
  <c r="EU68" i="2"/>
  <c r="DI74" i="2"/>
  <c r="BC75" i="2"/>
  <c r="EV75" i="2"/>
  <c r="CE77" i="2"/>
  <c r="CH77" i="2" s="1"/>
  <c r="CH79" i="2" s="1"/>
  <c r="DI77" i="2"/>
  <c r="DL77" i="2" s="1"/>
  <c r="ET77" i="2" s="1"/>
  <c r="DI78" i="2"/>
  <c r="DL78" i="2" s="1"/>
  <c r="AY79" i="2"/>
  <c r="AL82" i="2"/>
  <c r="AP82" i="2"/>
  <c r="AZ82" i="2"/>
  <c r="BJ82" i="2"/>
  <c r="BO82" i="2"/>
  <c r="BS82" i="2"/>
  <c r="BW82" i="2"/>
  <c r="R82" i="2"/>
  <c r="ET62" i="2"/>
  <c r="G63" i="2"/>
  <c r="EV63" i="2" s="1"/>
  <c r="CG64" i="2"/>
  <c r="DK72" i="2"/>
  <c r="EU69" i="2"/>
  <c r="DM69" i="2"/>
  <c r="ET69" i="2" s="1"/>
  <c r="BE72" i="2"/>
  <c r="EU76" i="2"/>
  <c r="K82" i="2"/>
  <c r="S82" i="2"/>
  <c r="G38" i="2"/>
  <c r="G43" i="2" s="1"/>
  <c r="ES38" i="2"/>
  <c r="DJ44" i="2"/>
  <c r="CG40" i="2"/>
  <c r="BB42" i="2"/>
  <c r="DK43" i="2"/>
  <c r="CG51" i="2"/>
  <c r="ES46" i="2"/>
  <c r="ES48" i="2"/>
  <c r="ES49" i="2"/>
  <c r="EO51" i="2"/>
  <c r="CI50" i="2"/>
  <c r="DM50" i="2"/>
  <c r="AW51" i="2"/>
  <c r="DK51" i="2"/>
  <c r="X58" i="2"/>
  <c r="CF54" i="2"/>
  <c r="CG57" i="2"/>
  <c r="EU59" i="2"/>
  <c r="BA60" i="2"/>
  <c r="BD60" i="2" s="1"/>
  <c r="CF65" i="2"/>
  <c r="DJ65" i="2"/>
  <c r="ES65" i="2" s="1"/>
  <c r="EN65" i="2"/>
  <c r="CI61" i="2"/>
  <c r="EV61" i="2" s="1"/>
  <c r="BA64" i="2"/>
  <c r="CE64" i="2"/>
  <c r="AQ65" i="2"/>
  <c r="CE72" i="2"/>
  <c r="CI72" i="2"/>
  <c r="ES68" i="2"/>
  <c r="CH73" i="2"/>
  <c r="CH78" i="2" s="1"/>
  <c r="ES73" i="2"/>
  <c r="X79" i="2"/>
  <c r="BA74" i="2"/>
  <c r="CF74" i="2"/>
  <c r="ES74" i="2"/>
  <c r="DJ78" i="2"/>
  <c r="DK79" i="2"/>
  <c r="AH82" i="2"/>
  <c r="AN82" i="2"/>
  <c r="AT82" i="2"/>
  <c r="BG82" i="2"/>
  <c r="BQ82" i="2"/>
  <c r="BU82" i="2"/>
  <c r="BY82" i="2"/>
  <c r="CJ82" i="2"/>
  <c r="DD82" i="2"/>
  <c r="BF82" i="2"/>
  <c r="BX82" i="2"/>
  <c r="DB82" i="2"/>
  <c r="DL60" i="2"/>
  <c r="DL65" i="2" s="1"/>
  <c r="BB61" i="2"/>
  <c r="W65" i="2"/>
  <c r="AA65" i="2"/>
  <c r="ET63" i="2"/>
  <c r="DI64" i="2"/>
  <c r="DL64" i="2" s="1"/>
  <c r="DI72" i="2"/>
  <c r="CG79" i="2"/>
  <c r="CF78" i="2"/>
  <c r="CF81" i="2"/>
  <c r="DL61" i="2"/>
  <c r="ET61" i="2" s="1"/>
  <c r="DL47" i="2"/>
  <c r="ET47" i="2" s="1"/>
  <c r="ES47" i="2"/>
  <c r="DL40" i="2"/>
  <c r="ET40" i="2" s="1"/>
  <c r="DL33" i="2"/>
  <c r="DL26" i="2"/>
  <c r="ET26" i="2" s="1"/>
  <c r="ES26" i="2"/>
  <c r="ES19" i="2"/>
  <c r="ES12" i="2"/>
  <c r="ES51" i="2"/>
  <c r="ET49" i="2"/>
  <c r="ET19" i="2"/>
  <c r="CH30" i="2"/>
  <c r="ET45" i="2"/>
  <c r="G45" i="2"/>
  <c r="G50" i="2" s="1"/>
  <c r="BB56" i="2"/>
  <c r="AE58" i="2"/>
  <c r="CI80" i="2"/>
  <c r="EV15" i="1"/>
  <c r="EW16" i="1"/>
  <c r="AG16" i="2"/>
  <c r="CE11" i="2"/>
  <c r="DK80" i="2"/>
  <c r="BA14" i="2"/>
  <c r="EU20" i="2"/>
  <c r="ES21" i="2"/>
  <c r="DI23" i="2"/>
  <c r="EU27" i="2"/>
  <c r="BA36" i="2"/>
  <c r="CM37" i="2"/>
  <c r="CM80" i="2"/>
  <c r="DJ32" i="2"/>
  <c r="DJ37" i="2" s="1"/>
  <c r="DM44" i="2"/>
  <c r="G52" i="2"/>
  <c r="G57" i="2" s="1"/>
  <c r="BB60" i="2"/>
  <c r="AG65" i="2"/>
  <c r="EV67" i="2"/>
  <c r="BA78" i="2"/>
  <c r="BD73" i="2"/>
  <c r="BD78" i="2" s="1"/>
  <c r="DK78" i="2"/>
  <c r="DM78" i="2"/>
  <c r="EV78" i="2" s="1"/>
  <c r="AI80" i="2"/>
  <c r="CT82" i="2"/>
  <c r="EM15" i="2"/>
  <c r="G46" i="2"/>
  <c r="EV46" i="2" s="1"/>
  <c r="DM64" i="2"/>
  <c r="ET64" i="2" s="1"/>
  <c r="ET17" i="2"/>
  <c r="EX13" i="1"/>
  <c r="EV13" i="2"/>
  <c r="CH81" i="2"/>
  <c r="G35" i="2"/>
  <c r="EV35" i="2" s="1"/>
  <c r="DM80" i="2"/>
  <c r="DM16" i="2"/>
  <c r="BD18" i="2"/>
  <c r="BD23" i="2" s="1"/>
  <c r="ET21" i="2"/>
  <c r="G24" i="2"/>
  <c r="EV26" i="2"/>
  <c r="CE26" i="2"/>
  <c r="CH26" i="2" s="1"/>
  <c r="EU26" i="2" s="1"/>
  <c r="DI32" i="2"/>
  <c r="DL32" i="2" s="1"/>
  <c r="BB33" i="2"/>
  <c r="BA33" i="2"/>
  <c r="DK36" i="2"/>
  <c r="BD38" i="2"/>
  <c r="BD43" i="2" s="1"/>
  <c r="EU43" i="2" s="1"/>
  <c r="ES42" i="2"/>
  <c r="ET46" i="2"/>
  <c r="G49" i="2"/>
  <c r="EV49" i="2" s="1"/>
  <c r="ET52" i="2"/>
  <c r="G56" i="2"/>
  <c r="EV56" i="2" s="1"/>
  <c r="AA58" i="2"/>
  <c r="ES57" i="2"/>
  <c r="G70" i="2"/>
  <c r="G72" i="2" s="1"/>
  <c r="AK72" i="2"/>
  <c r="BA70" i="2"/>
  <c r="BD70" i="2" s="1"/>
  <c r="BD72" i="2" s="1"/>
  <c r="DK81" i="2"/>
  <c r="ES37" i="2"/>
  <c r="ET51" i="2"/>
  <c r="ET59" i="2"/>
  <c r="EU22" i="2"/>
  <c r="BA56" i="2"/>
  <c r="EV76" i="2"/>
  <c r="ET76" i="2"/>
  <c r="DM79" i="2"/>
  <c r="EU16" i="1"/>
  <c r="X80" i="2"/>
  <c r="X16" i="2"/>
  <c r="Z81" i="2"/>
  <c r="DI15" i="2"/>
  <c r="DL15" i="2" s="1"/>
  <c r="CI16" i="2"/>
  <c r="DG16" i="2"/>
  <c r="ER16" i="2" s="1"/>
  <c r="EU17" i="2"/>
  <c r="BB18" i="2"/>
  <c r="ET23" i="2"/>
  <c r="BA19" i="2"/>
  <c r="BD19" i="2" s="1"/>
  <c r="EU19" i="2" s="1"/>
  <c r="CG19" i="2"/>
  <c r="EV20" i="2"/>
  <c r="AI81" i="2"/>
  <c r="BB21" i="2"/>
  <c r="DI22" i="2"/>
  <c r="DL22" i="2" s="1"/>
  <c r="ES25" i="2"/>
  <c r="CH32" i="2"/>
  <c r="CH37" i="2" s="1"/>
  <c r="CE37" i="2"/>
  <c r="EV33" i="2"/>
  <c r="CH36" i="2"/>
  <c r="DJ43" i="2"/>
  <c r="ES43" i="2" s="1"/>
  <c r="CF50" i="2"/>
  <c r="AA51" i="2"/>
  <c r="DI53" i="2"/>
  <c r="DI54" i="2"/>
  <c r="CI57" i="2"/>
  <c r="G59" i="2"/>
  <c r="G64" i="2" s="1"/>
  <c r="ES60" i="2"/>
  <c r="BA61" i="2"/>
  <c r="BB63" i="2"/>
  <c r="CF64" i="2"/>
  <c r="ET73" i="2"/>
  <c r="BD74" i="2"/>
  <c r="DJ81" i="2"/>
  <c r="ES18" i="2"/>
  <c r="EV41" i="2"/>
  <c r="EU41" i="2"/>
  <c r="EV62" i="2"/>
  <c r="BC74" i="2"/>
  <c r="BC79" i="2" s="1"/>
  <c r="AV79" i="2"/>
  <c r="BE74" i="2"/>
  <c r="ET50" i="2"/>
  <c r="EV69" i="2"/>
  <c r="CL82" i="2"/>
  <c r="EW14" i="1"/>
  <c r="CG17" i="1"/>
  <c r="Y16" i="2"/>
  <c r="BD11" i="2"/>
  <c r="EU12" i="2"/>
  <c r="ET12" i="2"/>
  <c r="DL14" i="2"/>
  <c r="DL81" i="2" s="1"/>
  <c r="CI15" i="2"/>
  <c r="CG23" i="2"/>
  <c r="G25" i="2"/>
  <c r="ES30" i="2"/>
  <c r="BC29" i="2"/>
  <c r="BE30" i="2"/>
  <c r="ES33" i="2"/>
  <c r="EU34" i="2"/>
  <c r="BB35" i="2"/>
  <c r="EV38" i="2"/>
  <c r="CG43" i="2"/>
  <c r="CI51" i="2"/>
  <c r="CF47" i="2"/>
  <c r="CE47" i="2"/>
  <c r="CH47" i="2" s="1"/>
  <c r="EV48" i="2"/>
  <c r="CA57" i="2"/>
  <c r="CF52" i="2"/>
  <c r="Y58" i="2"/>
  <c r="BE58" i="2"/>
  <c r="EV54" i="2"/>
  <c r="ES56" i="2"/>
  <c r="ET56" i="2"/>
  <c r="DI57" i="2"/>
  <c r="DL57" i="2" s="1"/>
  <c r="BE65" i="2"/>
  <c r="EU62" i="2"/>
  <c r="ES72" i="2"/>
  <c r="CF61" i="2"/>
  <c r="CE61" i="2"/>
  <c r="CH61" i="2" s="1"/>
  <c r="ET18" i="2"/>
  <c r="CS80" i="2"/>
  <c r="CS82" i="2" s="1"/>
  <c r="CS58" i="2"/>
  <c r="DJ53" i="2"/>
  <c r="ES55" i="2"/>
  <c r="Z80" i="2"/>
  <c r="BE16" i="2"/>
  <c r="DI11" i="2"/>
  <c r="AE81" i="2"/>
  <c r="AE82" i="2" s="1"/>
  <c r="BB14" i="2"/>
  <c r="BB16" i="2" s="1"/>
  <c r="CG81" i="2"/>
  <c r="BC16" i="2"/>
  <c r="G17" i="2"/>
  <c r="G22" i="2" s="1"/>
  <c r="G18" i="2"/>
  <c r="AK80" i="2"/>
  <c r="AK23" i="2"/>
  <c r="CH18" i="2"/>
  <c r="CH23" i="2" s="1"/>
  <c r="EN23" i="2"/>
  <c r="ET20" i="2"/>
  <c r="CF22" i="2"/>
  <c r="CE30" i="2"/>
  <c r="ET25" i="2"/>
  <c r="G28" i="2"/>
  <c r="EV28" i="2" s="1"/>
  <c r="CH31" i="2"/>
  <c r="CF33" i="2"/>
  <c r="ET33" i="2"/>
  <c r="ET41" i="2"/>
  <c r="EU42" i="2"/>
  <c r="CM44" i="2"/>
  <c r="CH45" i="2"/>
  <c r="CH50" i="2" s="1"/>
  <c r="EU50" i="2" s="1"/>
  <c r="CE50" i="2"/>
  <c r="W51" i="2"/>
  <c r="BB51" i="2"/>
  <c r="EP51" i="2"/>
  <c r="EV47" i="2"/>
  <c r="EV50" i="2"/>
  <c r="CC57" i="2"/>
  <c r="CE52" i="2"/>
  <c r="CF53" i="2"/>
  <c r="CF58" i="2" s="1"/>
  <c r="CA58" i="2"/>
  <c r="CE65" i="2"/>
  <c r="CH60" i="2"/>
  <c r="CH65" i="2" s="1"/>
  <c r="DM65" i="2"/>
  <c r="ET65" i="2" s="1"/>
  <c r="AG80" i="2"/>
  <c r="AG82" i="2" s="1"/>
  <c r="ES23" i="2"/>
  <c r="ES32" i="2"/>
  <c r="BK80" i="2"/>
  <c r="BK82" i="2" s="1"/>
  <c r="CF11" i="2"/>
  <c r="CF16" i="2" s="1"/>
  <c r="CG22" i="2"/>
  <c r="DM43" i="2"/>
  <c r="ET43" i="2" s="1"/>
  <c r="BB47" i="2"/>
  <c r="BA47" i="2"/>
  <c r="BD47" i="2" s="1"/>
  <c r="AE51" i="2"/>
  <c r="BA49" i="2"/>
  <c r="BD49" i="2" s="1"/>
  <c r="BD51" i="2" s="1"/>
  <c r="CG50" i="2"/>
  <c r="CE51" i="2"/>
  <c r="DJ54" i="2"/>
  <c r="DM58" i="2"/>
  <c r="AK81" i="2"/>
  <c r="BA63" i="2"/>
  <c r="AK65" i="2"/>
  <c r="EU64" i="2"/>
  <c r="BD66" i="2"/>
  <c r="BA71" i="2"/>
  <c r="BB70" i="2"/>
  <c r="BB72" i="2" s="1"/>
  <c r="AE72" i="2"/>
  <c r="EV73" i="2"/>
  <c r="G77" i="2"/>
  <c r="EV77" i="2" s="1"/>
  <c r="Y80" i="2"/>
  <c r="Y82" i="2" s="1"/>
  <c r="EV66" i="2"/>
  <c r="DM70" i="2"/>
  <c r="DM81" i="2" s="1"/>
  <c r="CF77" i="2"/>
  <c r="CF79" i="2" s="1"/>
  <c r="AQ80" i="2"/>
  <c r="AQ82" i="2" s="1"/>
  <c r="CU82" i="2"/>
  <c r="BA77" i="2"/>
  <c r="BD77" i="2" s="1"/>
  <c r="AU80" i="2"/>
  <c r="AU82" i="2" s="1"/>
  <c r="AS80" i="2"/>
  <c r="AS82" i="2" s="1"/>
  <c r="W81" i="2"/>
  <c r="CI81" i="2"/>
  <c r="CA80" i="2"/>
  <c r="CA82" i="2" s="1"/>
  <c r="AV80" i="2"/>
  <c r="AV82" i="2" s="1"/>
  <c r="BB58" i="2"/>
  <c r="G60" i="2"/>
  <c r="ES67" i="2"/>
  <c r="CQ80" i="2"/>
  <c r="CQ82" i="2" s="1"/>
  <c r="CQ79" i="2"/>
  <c r="EN79" i="2"/>
  <c r="BB77" i="2"/>
  <c r="BB79" i="2" s="1"/>
  <c r="CG78" i="2"/>
  <c r="W80" i="2"/>
  <c r="CG80" i="2"/>
  <c r="X81" i="2"/>
  <c r="BC81" i="2"/>
  <c r="EU25" i="2"/>
  <c r="AA30" i="2"/>
  <c r="CE53" i="2"/>
  <c r="BM65" i="2"/>
  <c r="DK71" i="2"/>
  <c r="ES71" i="2" s="1"/>
  <c r="AA72" i="2"/>
  <c r="DI75" i="2"/>
  <c r="AB82" i="2"/>
  <c r="U47" i="3"/>
  <c r="EU67" i="2"/>
  <c r="AG79" i="2"/>
  <c r="BI82" i="2"/>
  <c r="ES75" i="2"/>
  <c r="BI79" i="2"/>
  <c r="BM82" i="2"/>
  <c r="CF75" i="2"/>
  <c r="CE75" i="2"/>
  <c r="CH75" i="2" s="1"/>
  <c r="EU75" i="2" s="1"/>
  <c r="W82" i="2" l="1"/>
  <c r="EU54" i="2"/>
  <c r="ET57" i="2"/>
  <c r="BA37" i="2"/>
  <c r="ET29" i="2"/>
  <c r="EU47" i="2"/>
  <c r="DL31" i="2"/>
  <c r="EU31" i="2" s="1"/>
  <c r="DL36" i="2"/>
  <c r="G65" i="2"/>
  <c r="G23" i="2"/>
  <c r="EV23" i="2" s="1"/>
  <c r="ES77" i="2"/>
  <c r="EV10" i="2"/>
  <c r="ES44" i="2"/>
  <c r="EV22" i="2"/>
  <c r="EU73" i="2"/>
  <c r="DI44" i="2"/>
  <c r="EU38" i="2"/>
  <c r="EU15" i="2"/>
  <c r="ES64" i="2"/>
  <c r="ES22" i="2"/>
  <c r="BB80" i="2"/>
  <c r="BB81" i="2"/>
  <c r="BD39" i="2"/>
  <c r="BD44" i="2" s="1"/>
  <c r="EU44" i="2" s="1"/>
  <c r="G30" i="2"/>
  <c r="EU32" i="2"/>
  <c r="EU77" i="2"/>
  <c r="ET22" i="2"/>
  <c r="EV57" i="2"/>
  <c r="EV45" i="2"/>
  <c r="EU35" i="2"/>
  <c r="BA80" i="2"/>
  <c r="CE79" i="2"/>
  <c r="DJ58" i="2"/>
  <c r="ES58" i="2" s="1"/>
  <c r="ES53" i="2"/>
  <c r="CE81" i="2"/>
  <c r="ES11" i="2"/>
  <c r="EV52" i="2"/>
  <c r="ES15" i="2"/>
  <c r="BA23" i="2"/>
  <c r="EU29" i="2"/>
  <c r="EU23" i="2"/>
  <c r="BD79" i="2"/>
  <c r="BC80" i="2"/>
  <c r="BC82" i="2" s="1"/>
  <c r="AI82" i="2"/>
  <c r="CI82" i="2"/>
  <c r="DI79" i="2"/>
  <c r="DL74" i="2"/>
  <c r="G74" i="2" s="1"/>
  <c r="BB44" i="2"/>
  <c r="EU37" i="2"/>
  <c r="AK82" i="2"/>
  <c r="CF57" i="2"/>
  <c r="EV17" i="2"/>
  <c r="EV15" i="2"/>
  <c r="ET60" i="2"/>
  <c r="DI81" i="2"/>
  <c r="CF80" i="2"/>
  <c r="CF82" i="2" s="1"/>
  <c r="BB65" i="2"/>
  <c r="DL75" i="2"/>
  <c r="ET75" i="2" s="1"/>
  <c r="DL54" i="2"/>
  <c r="ET54" i="2" s="1"/>
  <c r="EV65" i="2"/>
  <c r="G51" i="2"/>
  <c r="EV51" i="2" s="1"/>
  <c r="EV18" i="2"/>
  <c r="ES36" i="2"/>
  <c r="DM36" i="2"/>
  <c r="BD36" i="2"/>
  <c r="BA81" i="2"/>
  <c r="BD14" i="2"/>
  <c r="BD16" i="2" s="1"/>
  <c r="CE58" i="2"/>
  <c r="CH53" i="2"/>
  <c r="BD71" i="2"/>
  <c r="EU66" i="2"/>
  <c r="EU49" i="2"/>
  <c r="BD80" i="2"/>
  <c r="BE79" i="2"/>
  <c r="BA79" i="2"/>
  <c r="BB23" i="2"/>
  <c r="BD56" i="2"/>
  <c r="BA58" i="2"/>
  <c r="BD33" i="2"/>
  <c r="EU33" i="2" s="1"/>
  <c r="G14" i="2"/>
  <c r="ET14" i="2"/>
  <c r="EU74" i="2"/>
  <c r="EV30" i="2"/>
  <c r="EU30" i="2"/>
  <c r="DM72" i="2"/>
  <c r="ET72" i="2" s="1"/>
  <c r="EV70" i="2"/>
  <c r="ET70" i="2"/>
  <c r="BB37" i="2"/>
  <c r="X82" i="2"/>
  <c r="DI37" i="2"/>
  <c r="ET78" i="2"/>
  <c r="EV25" i="2"/>
  <c r="DK82" i="2"/>
  <c r="ET15" i="2"/>
  <c r="ES54" i="2"/>
  <c r="BD63" i="2"/>
  <c r="EU63" i="2" s="1"/>
  <c r="DM71" i="2"/>
  <c r="DI58" i="2"/>
  <c r="DL53" i="2"/>
  <c r="BA72" i="2"/>
  <c r="DM82" i="2"/>
  <c r="ES78" i="2"/>
  <c r="EU78" i="2"/>
  <c r="CE80" i="2"/>
  <c r="CE82" i="2" s="1"/>
  <c r="CH11" i="2"/>
  <c r="EU11" i="2" s="1"/>
  <c r="CE16" i="2"/>
  <c r="EV31" i="2"/>
  <c r="ET31" i="2"/>
  <c r="EV72" i="2"/>
  <c r="EU72" i="2"/>
  <c r="EU71" i="2"/>
  <c r="EU70" i="2"/>
  <c r="EU39" i="2"/>
  <c r="DI80" i="2"/>
  <c r="DI16" i="2"/>
  <c r="DL11" i="2"/>
  <c r="EU60" i="2"/>
  <c r="BA51" i="2"/>
  <c r="EV59" i="2"/>
  <c r="BA16" i="2"/>
  <c r="EV43" i="2"/>
  <c r="BA82" i="2"/>
  <c r="BE80" i="2"/>
  <c r="BE82" i="2" s="1"/>
  <c r="BA65" i="2"/>
  <c r="CM82" i="2"/>
  <c r="DJ82" i="2" s="1"/>
  <c r="DJ80" i="2"/>
  <c r="EV64" i="2"/>
  <c r="EU45" i="2"/>
  <c r="EV60" i="2"/>
  <c r="CH52" i="2"/>
  <c r="CE57" i="2"/>
  <c r="BD61" i="2"/>
  <c r="EU61" i="2" s="1"/>
  <c r="CG82" i="2"/>
  <c r="DL44" i="2"/>
  <c r="ET44" i="2" s="1"/>
  <c r="G39" i="2"/>
  <c r="Z82" i="2"/>
  <c r="EU51" i="2"/>
  <c r="EU18" i="2"/>
  <c r="EV24" i="2"/>
  <c r="G29" i="2"/>
  <c r="EV29" i="2" s="1"/>
  <c r="EU16" i="2" l="1"/>
  <c r="DI82" i="2"/>
  <c r="BB82" i="2"/>
  <c r="ET74" i="2"/>
  <c r="DL79" i="2"/>
  <c r="CH80" i="2"/>
  <c r="CH82" i="2" s="1"/>
  <c r="CH16" i="2"/>
  <c r="DL58" i="2"/>
  <c r="ET53" i="2"/>
  <c r="G53" i="2"/>
  <c r="BD58" i="2"/>
  <c r="EU56" i="2"/>
  <c r="BD65" i="2"/>
  <c r="EU65" i="2" s="1"/>
  <c r="BD81" i="2"/>
  <c r="BD82" i="2" s="1"/>
  <c r="EU14" i="2"/>
  <c r="G44" i="2"/>
  <c r="EV44" i="2" s="1"/>
  <c r="EV39" i="2"/>
  <c r="DL37" i="2"/>
  <c r="G32" i="2"/>
  <c r="ET32" i="2"/>
  <c r="CH58" i="2"/>
  <c r="EU53" i="2"/>
  <c r="DL80" i="2"/>
  <c r="DL82" i="2" s="1"/>
  <c r="DL16" i="2"/>
  <c r="ET16" i="2" s="1"/>
  <c r="ET11" i="2"/>
  <c r="ET71" i="2"/>
  <c r="EV71" i="2"/>
  <c r="CH57" i="2"/>
  <c r="EU57" i="2" s="1"/>
  <c r="EU52" i="2"/>
  <c r="G81" i="2"/>
  <c r="EV14" i="2"/>
  <c r="G79" i="2"/>
  <c r="EV74" i="2"/>
  <c r="ET36" i="2"/>
  <c r="EV36" i="2"/>
  <c r="EU36" i="2"/>
  <c r="ET79" i="2" l="1"/>
  <c r="ET37" i="2"/>
  <c r="ET58" i="2"/>
  <c r="EU58" i="2"/>
  <c r="G82" i="2"/>
  <c r="G16" i="2"/>
  <c r="EV16" i="2" s="1"/>
  <c r="EV11" i="2"/>
  <c r="G58" i="2"/>
  <c r="EV58" i="2" s="1"/>
  <c r="EV53" i="2"/>
  <c r="G37" i="2"/>
  <c r="EV37" i="2" s="1"/>
  <c r="EV3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000-000001000000}">
      <text>
        <r>
          <rPr>
            <sz val="11"/>
            <color theme="1"/>
            <rFont val="Calibri"/>
            <family val="2"/>
            <scheme val="minor"/>
          </rPr>
          <t>======
ID#AAABDq5TrC4
YULIED.PENARANDA    (2023-11-09 13:07:34)
Describir el nombre completo de la oficina, dirección o subdirección que gerencia el proyecto de inversión.</t>
        </r>
      </text>
    </comment>
    <comment ref="A6" authorId="0" shapeId="0" xr:uid="{00000000-0006-0000-0000-000002000000}">
      <text>
        <r>
          <rPr>
            <sz val="11"/>
            <color theme="1"/>
            <rFont val="Calibri"/>
            <family val="2"/>
            <scheme val="minor"/>
          </rPr>
          <t>======
ID#AAABDq5TrMk
YULIED.PENARANDA    (2023-11-09 13:07:33)
Describir el número y nombre completo del proyecto de inversión.</t>
        </r>
      </text>
    </comment>
    <comment ref="A7" authorId="0" shapeId="0" xr:uid="{00000000-0006-0000-0000-000003000000}">
      <text>
        <r>
          <rPr>
            <sz val="11"/>
            <color theme="1"/>
            <rFont val="Calibri"/>
            <family val="2"/>
            <scheme val="minor"/>
          </rPr>
          <t>======
ID#AAABDq5Tqy4
YULIED.PENARANDA    (2023-11-09 13:07:34)
Las metas plan de desarrollo están agrupadas en temáticas afines, bajo la estructura de Propósito Plan de Desarrollo. Relacionar número y nombre del propósito asociado</t>
        </r>
      </text>
    </comment>
    <comment ref="A8" authorId="0" shapeId="0" xr:uid="{00000000-0006-0000-0000-000004000000}">
      <text>
        <r>
          <rPr>
            <sz val="11"/>
            <color theme="1"/>
            <rFont val="Calibri"/>
            <family val="2"/>
            <scheme val="minor"/>
          </rPr>
          <t>======
ID#AAABDq5TrlY
YULIED.PENARANDA    (2023-11-09 13:07:33)
Las metas plan de desarrollo están agrupadas en temáticas afines, bajo la estructura de Programas Plan de Desarrollo. Relacionar número y nombre del programa asociado</t>
        </r>
      </text>
    </comment>
    <comment ref="EY10" authorId="0" shapeId="0" xr:uid="{00000000-0006-0000-0000-000005000000}">
      <text>
        <r>
          <rPr>
            <sz val="11"/>
            <color theme="1"/>
            <rFont val="Calibri"/>
            <family val="2"/>
            <scheme val="minor"/>
          </rPr>
          <t>======
ID#AAABDq5TrbU
YULIED.PENARANDA    (2023-11-09 13:07:33)
Logros más representativos en función de la meta, de forma acumulada.(lenguaje claro y preciso)
Máximo de caracteres 2.000 incluidos espacios.</t>
        </r>
      </text>
    </comment>
    <comment ref="EZ10" authorId="0" shapeId="0" xr:uid="{00000000-0006-0000-0000-000006000000}">
      <text>
        <r>
          <rPr>
            <sz val="11"/>
            <color theme="1"/>
            <rFont val="Calibri"/>
            <family val="2"/>
            <scheme val="minor"/>
          </rPr>
          <t>======
ID#AAABDq5TrKw
YULIED.PENARANDA    (2023-11-09 13:07:34)
Inconvenientes y/o dificultades que se han presentado para el cumplimiento de la Meta. 
Máximo de caracteres 500 incluidos espacios.</t>
        </r>
      </text>
    </comment>
    <comment ref="FA10" authorId="0" shapeId="0" xr:uid="{00000000-0006-0000-0000-000007000000}">
      <text>
        <r>
          <rPr>
            <sz val="11"/>
            <color theme="1"/>
            <rFont val="Calibri"/>
            <family val="2"/>
            <scheme val="minor"/>
          </rPr>
          <t>======
ID#AAABDq5TqxY
YULIED.PENARANDA    (2023-11-09 13:07:33)
Medidas a tomar para solucionar los retrasos presentados. 
Máximo de caracteres 500 incluidos espacios.</t>
        </r>
      </text>
    </comment>
    <comment ref="FB10" authorId="0" shapeId="0" xr:uid="{00000000-0006-0000-0000-000008000000}">
      <text>
        <r>
          <rPr>
            <sz val="11"/>
            <color theme="1"/>
            <rFont val="Calibri"/>
            <family val="2"/>
            <scheme val="minor"/>
          </rPr>
          <t>======
ID#AAABDq5TreI
YULIED.PENARANDA    (2023-11-09 13:07:33)
Logros obtenidos para la población objetivo, que se han alcanzado  con el cumplimiento de la meta.</t>
        </r>
      </text>
    </comment>
    <comment ref="FC10" authorId="0" shapeId="0" xr:uid="{00000000-0006-0000-0000-000009000000}">
      <text>
        <r>
          <rPr>
            <sz val="11"/>
            <color theme="1"/>
            <rFont val="Calibri"/>
            <family val="2"/>
            <scheme val="minor"/>
          </rPr>
          <t>======
ID#AAABDq5Trgg
YULIED.PENARANDA    (2023-11-09 13:07:34)
Soportes que justifican las acciones desarrolladas en el cumplimiento de la meta.</t>
        </r>
      </text>
    </comment>
    <comment ref="A11" authorId="0" shapeId="0" xr:uid="{00000000-0006-0000-0000-00000A000000}">
      <text>
        <r>
          <rPr>
            <sz val="11"/>
            <color theme="1"/>
            <rFont val="Calibri"/>
            <family val="2"/>
            <scheme val="minor"/>
          </rPr>
          <t>======
ID#AAABDq5TrdY
YULIED.PENARANDA    (2023-11-09 13:07:33)
Número del propósito al que pertenece la estructura del proyecto de inversión asociada al PDD</t>
        </r>
      </text>
    </comment>
    <comment ref="J11" authorId="0" shapeId="0" xr:uid="{00000000-0006-0000-0000-00000B000000}">
      <text>
        <r>
          <rPr>
            <sz val="11"/>
            <color theme="1"/>
            <rFont val="Calibri"/>
            <family val="2"/>
            <scheme val="minor"/>
          </rPr>
          <t>======
ID#AAABDq5Tq6o
YULIED.PENARANDA    (2023-11-09 13:07:34)
Año 1</t>
        </r>
      </text>
    </comment>
    <comment ref="BH11" authorId="0" shapeId="0" xr:uid="{00000000-0006-0000-0000-00000C000000}">
      <text>
        <r>
          <rPr>
            <sz val="11"/>
            <color theme="1"/>
            <rFont val="Calibri"/>
            <family val="2"/>
            <scheme val="minor"/>
          </rPr>
          <t>======
ID#AAABDq5TrfE
YULIED.PENARANDA    (2023-11-09 13:07:34)
Año 3</t>
        </r>
      </text>
    </comment>
    <comment ref="CL11" authorId="0" shapeId="0" xr:uid="{00000000-0006-0000-0000-00000D000000}">
      <text>
        <r>
          <rPr>
            <sz val="11"/>
            <color theme="1"/>
            <rFont val="Calibri"/>
            <family val="2"/>
            <scheme val="minor"/>
          </rPr>
          <t>======
ID#AAABDq5TrI4
YULIED.PENARANDA    (2023-11-09 13:07:34)
Año 4</t>
        </r>
      </text>
    </comment>
    <comment ref="DP11" authorId="0" shapeId="0" xr:uid="{00000000-0006-0000-0000-00000E000000}">
      <text>
        <r>
          <rPr>
            <sz val="11"/>
            <color theme="1"/>
            <rFont val="Calibri"/>
            <family val="2"/>
            <scheme val="minor"/>
          </rPr>
          <t>======
ID#AAABDq5Tq2I
YULIED.PENARANDA    (2023-11-09 13:07:34)
Año 5</t>
        </r>
      </text>
    </comment>
    <comment ref="A12" authorId="0" shapeId="0" xr:uid="{00000000-0006-0000-0000-00000F000000}">
      <text>
        <r>
          <rPr>
            <sz val="11"/>
            <color theme="1"/>
            <rFont val="Calibri"/>
            <family val="2"/>
            <scheme val="minor"/>
          </rPr>
          <t>======
ID#AAABDq5TrfY
YULIED.PENARANDA    (2023-11-09 13:07:34)
Número del propósito al que pertenece la estructura del proyecto de inversión asociada al PDD</t>
        </r>
      </text>
    </comment>
    <comment ref="B12" authorId="0" shapeId="0" xr:uid="{00000000-0006-0000-0000-000010000000}">
      <text>
        <r>
          <rPr>
            <sz val="11"/>
            <color theme="1"/>
            <rFont val="Calibri"/>
            <family val="2"/>
            <scheme val="minor"/>
          </rPr>
          <t>======
ID#AAABDq5TrLU
YULIED.PENARANDA    (2023-11-09 13:07:33)
Número del programa al que pertenece la estructura del proyecto de inversión asociada al PDD</t>
        </r>
      </text>
    </comment>
    <comment ref="C12" authorId="0" shapeId="0" xr:uid="{00000000-0006-0000-0000-000011000000}">
      <text>
        <r>
          <rPr>
            <sz val="11"/>
            <color theme="1"/>
            <rFont val="Calibri"/>
            <family val="2"/>
            <scheme val="minor"/>
          </rPr>
          <t>======
ID#AAABDq5Tqv8
YULIED.PENARANDA    (2023-11-09 13:07:34)
Número de Meta Plan de Desarrollo.</t>
        </r>
      </text>
    </comment>
    <comment ref="D12" authorId="0" shapeId="0" xr:uid="{00000000-0006-0000-0000-000012000000}">
      <text>
        <r>
          <rPr>
            <sz val="11"/>
            <color theme="1"/>
            <rFont val="Calibri"/>
            <family val="2"/>
            <scheme val="minor"/>
          </rPr>
          <t>======
ID#AAABDq5TrQU
YULIED.PENARANDA    (2023-11-09 13:07:34)
Nombre completo de la Meta  del Plan de Desarrollo, según acuerdo.</t>
        </r>
      </text>
    </comment>
    <comment ref="E12" authorId="0" shapeId="0" xr:uid="{00000000-0006-0000-0000-000013000000}">
      <text>
        <r>
          <rPr>
            <sz val="11"/>
            <color theme="1"/>
            <rFont val="Calibri"/>
            <family val="2"/>
            <scheme val="minor"/>
          </rPr>
          <t>======
ID#AAABDq5TrYc
YULIED.PENARANDA    (2023-11-09 13:07:34)
Número asignado al indicador en la estructura del Plan de Desarrollo.</t>
        </r>
      </text>
    </comment>
    <comment ref="F12" authorId="0" shapeId="0" xr:uid="{00000000-0006-0000-0000-000014000000}">
      <text>
        <r>
          <rPr>
            <sz val="11"/>
            <color theme="1"/>
            <rFont val="Calibri"/>
            <family val="2"/>
            <scheme val="minor"/>
          </rPr>
          <t>======
ID#AAABDq5Tq4A
YULIED.PENARANDA    (2023-11-09 13:07:33)
Nombre completo del indicador. Expresión verbal, precisa y concreta del patrón de evaluación.</t>
        </r>
      </text>
    </comment>
    <comment ref="G12" authorId="0" shapeId="0" xr:uid="{00000000-0006-0000-0000-000015000000}">
      <text>
        <r>
          <rPr>
            <sz val="11"/>
            <color theme="1"/>
            <rFont val="Calibri"/>
            <family val="2"/>
            <scheme val="minor"/>
          </rPr>
          <t>======
ID#AAABDq5Trv4
YULIED.PENARANDA    (2023-11-09 13:07:33)
Unidad cualitativa del indicador, define las características de la magnitud a realizar seguimiento. Eje: Hectáreas, estrategias, modelos, proyectos etc.</t>
        </r>
      </text>
    </comment>
    <comment ref="H12" authorId="0" shapeId="0" xr:uid="{00000000-0006-0000-0000-000016000000}">
      <text>
        <r>
          <rPr>
            <sz val="11"/>
            <color theme="1"/>
            <rFont val="Calibri"/>
            <family val="2"/>
            <scheme val="minor"/>
          </rPr>
          <t>======
ID#AAABDq5TqpE
YULIED.PENARANDA    (2023-11-09 13:07:34)
Clasificación que define la forma en que será anualizada la meta y por tanto la forma en que este se reportará.  (Suma, Creciente, Decreciente y Constante)</t>
        </r>
      </text>
    </comment>
    <comment ref="I12" authorId="0" shapeId="0" xr:uid="{00000000-0006-0000-0000-000017000000}">
      <text>
        <r>
          <rPr>
            <sz val="11"/>
            <color theme="1"/>
            <rFont val="Calibri"/>
            <family val="2"/>
            <scheme val="minor"/>
          </rPr>
          <t>======
ID#AAABDq5Trjk
YULIED.PENARANDA    (2023-11-09 13:07:34)
Magnitud física del indicador programada para la totalidad del plan de desarrollo 2020-2024</t>
        </r>
      </text>
    </comment>
    <comment ref="J12" authorId="0" shapeId="0" xr:uid="{00000000-0006-0000-0000-000018000000}">
      <text>
        <r>
          <rPr>
            <sz val="11"/>
            <color theme="1"/>
            <rFont val="Calibri"/>
            <family val="2"/>
            <scheme val="minor"/>
          </rPr>
          <t>======
ID#AAABDq5Trr4
YULIED.PENARANDA    (2023-11-09 13:07:33)
Magnitud física y presupuestal  programada para el inicio del plan de desarrollo.</t>
        </r>
      </text>
    </comment>
  </commentList>
  <extLst>
    <ext xmlns:r="http://schemas.openxmlformats.org/officeDocument/2006/relationships" uri="GoogleSheetsCustomDataVersion2">
      <go:sheetsCustomData xmlns:go="http://customooxmlschemas.google.com/" r:id="rId1" roundtripDataSignature="AMtx7mju7cjWHjr6EqMKzCrVs0vqApvYX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100-000001000000}">
      <text>
        <r>
          <rPr>
            <sz val="11"/>
            <color theme="1"/>
            <rFont val="Calibri"/>
            <family val="2"/>
            <scheme val="minor"/>
          </rPr>
          <t>======
ID#AAABDq5Tq2g
YULIED.PENARANDA    (2023-11-09 13:07:34)
Describir el nombre completo de la oficina, dirección o subdirección que gerencia el proyecto de inversión.</t>
        </r>
      </text>
    </comment>
    <comment ref="A5" authorId="0" shapeId="0" xr:uid="{00000000-0006-0000-0100-000002000000}">
      <text>
        <r>
          <rPr>
            <sz val="11"/>
            <color theme="1"/>
            <rFont val="Calibri"/>
            <family val="2"/>
            <scheme val="minor"/>
          </rPr>
          <t>======
ID#AAABDq5TrvI
YULIED.PENARANDA    (2023-11-09 13:07:33)
Describir el número y nombre completo del proyecto de inversión.</t>
        </r>
      </text>
    </comment>
    <comment ref="ES7" authorId="0" shapeId="0" xr:uid="{00000000-0006-0000-0100-000003000000}">
      <text>
        <r>
          <rPr>
            <sz val="11"/>
            <color theme="1"/>
            <rFont val="Calibri"/>
            <family val="2"/>
            <scheme val="minor"/>
          </rPr>
          <t>======
ID#AAABDq5Tq-Q
YULIED.PENARANDA    (2023-11-09 13:07:34)
En este campo se conoce el porcentaje de avance de la vigencia; según la tipología del indicador.</t>
        </r>
      </text>
    </comment>
    <comment ref="ET7" authorId="0" shapeId="0" xr:uid="{00000000-0006-0000-0100-000004000000}">
      <text>
        <r>
          <rPr>
            <sz val="11"/>
            <color theme="1"/>
            <rFont val="Calibri"/>
            <family val="2"/>
            <scheme val="minor"/>
          </rPr>
          <t>======
ID#AAABDq5Tq2o
YULIED.PENARANDA    (2023-11-09 13:07:33)
En este campo se conoce el porcentaje de avance de la vigencia; según la tipología del indicador.</t>
        </r>
      </text>
    </comment>
    <comment ref="EU7" authorId="0" shapeId="0" xr:uid="{00000000-0006-0000-0100-000005000000}">
      <text>
        <r>
          <rPr>
            <sz val="11"/>
            <color theme="1"/>
            <rFont val="Calibri"/>
            <family val="2"/>
            <scheme val="minor"/>
          </rPr>
          <t>======
ID#AAABDq5TrTk
YULIED.PENARANDA    (2023-11-09 13:07:34)
En este campo se conoce el porcentaje de avance de la vigencia; según la tipología del indicador.</t>
        </r>
      </text>
    </comment>
    <comment ref="EV7" authorId="0" shapeId="0" xr:uid="{00000000-0006-0000-0100-000006000000}">
      <text>
        <r>
          <rPr>
            <sz val="11"/>
            <color theme="1"/>
            <rFont val="Calibri"/>
            <family val="2"/>
            <scheme val="minor"/>
          </rPr>
          <t>======
ID#AAABDq5Tq1s
YULIED.PENARANDA    (2023-11-09 13:07:33)
Este campo se conoce el porcentaje de avance de forma acumulada al plan de desarrollo, de acuerdo con la tipología del indicador.</t>
        </r>
      </text>
    </comment>
    <comment ref="EW7" authorId="0" shapeId="0" xr:uid="{00000000-0006-0000-0100-000007000000}">
      <text>
        <r>
          <rPr>
            <sz val="11"/>
            <color theme="1"/>
            <rFont val="Calibri"/>
            <family val="2"/>
            <scheme val="minor"/>
          </rPr>
          <t>======
ID#AAABDq5Try0
YULIED.PENARANDA    (2022-02-07 20:51:54)
Logros más representativos en función de la meta, de forma acumulada.(lenguaje claro y preciso)
Máximo de caracteres 2.000 incluidos espacios.</t>
        </r>
      </text>
    </comment>
    <comment ref="EX7" authorId="0" shapeId="0" xr:uid="{00000000-0006-0000-0100-000008000000}">
      <text>
        <r>
          <rPr>
            <sz val="11"/>
            <color theme="1"/>
            <rFont val="Calibri"/>
            <family val="2"/>
            <scheme val="minor"/>
          </rPr>
          <t>======
ID#AAABDq5Trcw
YULIED.PENARANDA    (2022-02-07 20:51:54)
Inconvenientes y/o dificultades que se han presentado para el cumplimiento de la Meta. 
Máximo de caracteres 500 incluidos espacios.</t>
        </r>
      </text>
    </comment>
    <comment ref="EY7" authorId="0" shapeId="0" xr:uid="{00000000-0006-0000-0100-000009000000}">
      <text>
        <r>
          <rPr>
            <sz val="11"/>
            <color theme="1"/>
            <rFont val="Calibri"/>
            <family val="2"/>
            <scheme val="minor"/>
          </rPr>
          <t>======
ID#AAABDq5Trkc
YULIED.PENARANDA    (2022-02-07 20:51:54)
Medidas a tomar para solucionar los retrasos presentados. 
Máximo de caracteres 500 incluidos espacios.</t>
        </r>
      </text>
    </comment>
    <comment ref="EZ7" authorId="0" shapeId="0" xr:uid="{00000000-0006-0000-0100-00000A000000}">
      <text>
        <r>
          <rPr>
            <sz val="11"/>
            <color theme="1"/>
            <rFont val="Calibri"/>
            <family val="2"/>
            <scheme val="minor"/>
          </rPr>
          <t>======
ID#AAABDq5Trp8
YULIED.PENARANDA    (2022-02-07 20:51:54)
Logros obtenidos para la población objetivo, que se han alcanzado  con el cumplimiento de la meta.</t>
        </r>
      </text>
    </comment>
    <comment ref="FA7" authorId="0" shapeId="0" xr:uid="{00000000-0006-0000-0100-00000B000000}">
      <text>
        <r>
          <rPr>
            <sz val="11"/>
            <color theme="1"/>
            <rFont val="Calibri"/>
            <family val="2"/>
            <scheme val="minor"/>
          </rPr>
          <t>======
ID#AAABDq5TrjA
YULIED.PENARANDA    (2022-02-07 20:51:54)
Soportes que justifican las acciones desarrolladas en el cumplimiento de la meta.</t>
        </r>
      </text>
    </comment>
    <comment ref="H8" authorId="0" shapeId="0" xr:uid="{00000000-0006-0000-0100-00000C000000}">
      <text>
        <r>
          <rPr>
            <sz val="11"/>
            <color theme="1"/>
            <rFont val="Calibri"/>
            <family val="2"/>
            <scheme val="minor"/>
          </rPr>
          <t>======
ID#AAABDq5TraU
YULIED.PENARANDA    (2022-02-07 20:51:54)
Año 1</t>
        </r>
      </text>
    </comment>
    <comment ref="BF8" authorId="0" shapeId="0" xr:uid="{00000000-0006-0000-0100-00000D000000}">
      <text>
        <r>
          <rPr>
            <sz val="11"/>
            <color theme="1"/>
            <rFont val="Calibri"/>
            <family val="2"/>
            <scheme val="minor"/>
          </rPr>
          <t>======
ID#AAABDq5Trcs
YULIED.PENARANDA    (2022-02-07 20:51:54)
Año 3</t>
        </r>
      </text>
    </comment>
    <comment ref="CJ8" authorId="0" shapeId="0" xr:uid="{00000000-0006-0000-0100-00000E000000}">
      <text>
        <r>
          <rPr>
            <sz val="11"/>
            <color theme="1"/>
            <rFont val="Calibri"/>
            <family val="2"/>
            <scheme val="minor"/>
          </rPr>
          <t>======
ID#AAABDq5TrjU
YULIED.PENARANDA    (2022-02-07 20:51:54)
Año 4</t>
        </r>
      </text>
    </comment>
    <comment ref="DN8" authorId="0" shapeId="0" xr:uid="{00000000-0006-0000-0100-00000F000000}">
      <text>
        <r>
          <rPr>
            <sz val="11"/>
            <color theme="1"/>
            <rFont val="Calibri"/>
            <family val="2"/>
            <scheme val="minor"/>
          </rPr>
          <t>======
ID#AAABDq5Tq5k
YULIED.PENARANDA    (2022-02-07 20:51:54)
Año 5</t>
        </r>
      </text>
    </comment>
    <comment ref="A9" authorId="0" shapeId="0" xr:uid="{00000000-0006-0000-0100-000010000000}">
      <text>
        <r>
          <rPr>
            <sz val="11"/>
            <color theme="1"/>
            <rFont val="Calibri"/>
            <family val="2"/>
            <scheme val="minor"/>
          </rPr>
          <t>======
ID#AAABDq5TrxY
YULIED.PENARANDA    (2022-02-07 20:51:54)
Nombre completo de las líneas de acción, quien nos dan una visión general de los grandes temas del proyecto y forman parte integral del mismo, de acuerdo con la ficha EBI</t>
        </r>
      </text>
    </comment>
    <comment ref="B9" authorId="0" shapeId="0" xr:uid="{00000000-0006-0000-0100-000011000000}">
      <text>
        <r>
          <rPr>
            <sz val="11"/>
            <color theme="1"/>
            <rFont val="Calibri"/>
            <family val="2"/>
            <scheme val="minor"/>
          </rPr>
          <t>======
ID#AAABDq5Tqz4
YULIED.PENARANDA    (2022-02-07 20:51:54)
Número de la meta proyecto de inversión, según la asignación dada en  SEGPLAN</t>
        </r>
      </text>
    </comment>
    <comment ref="C9" authorId="0" shapeId="0" xr:uid="{00000000-0006-0000-0100-000012000000}">
      <text>
        <r>
          <rPr>
            <sz val="11"/>
            <color theme="1"/>
            <rFont val="Calibri"/>
            <family val="2"/>
            <scheme val="minor"/>
          </rPr>
          <t>======
ID#AAABDq5Tq4M
YULIED.PENARANDA    (2022-02-07 20:51:54)
Nombre completo de la meta proyecto de inversión, igual como quedo en SEGPLAN</t>
        </r>
      </text>
    </comment>
    <comment ref="D9" authorId="0" shapeId="0" xr:uid="{00000000-0006-0000-0100-000013000000}">
      <text>
        <r>
          <rPr>
            <sz val="11"/>
            <color theme="1"/>
            <rFont val="Calibri"/>
            <family val="2"/>
            <scheme val="minor"/>
          </rPr>
          <t>======
ID#AAABDq5TrgQ
YULIED.PENARANDA    (2022-02-07 20:51:54)
Clasificación que define la forma en que será anualizada la meta y por tanto la forma en que este se reportará.  (Suma, Creciente, Decreciente y Constante)</t>
        </r>
      </text>
    </comment>
    <comment ref="E9" authorId="0" shapeId="0" xr:uid="{00000000-0006-0000-0100-000014000000}">
      <text>
        <r>
          <rPr>
            <sz val="11"/>
            <color theme="1"/>
            <rFont val="Calibri"/>
            <family val="2"/>
            <scheme val="minor"/>
          </rPr>
          <t>======
ID#AAABDq5TqwY
YULIED.PENARANDA    (2022-02-07 20:51:54)
Número de la meta Plan de Desarrollo, a la cual se encuentra asociada la meta de inversión.</t>
        </r>
      </text>
    </comment>
    <comment ref="F9" authorId="0" shapeId="0" xr:uid="{00000000-0006-0000-0100-000015000000}">
      <text>
        <r>
          <rPr>
            <sz val="11"/>
            <color theme="1"/>
            <rFont val="Calibri"/>
            <family val="2"/>
            <scheme val="minor"/>
          </rPr>
          <t>======
ID#AAABDq5TrQY
YULIED.PENARANDA    (2022-02-07 20:51:54)
Se desagrega los siguientesvariables.
Magnitud física y presupuestal de la vigencia, así como la magnitud física y presupuestal de las reservas y el total de cada una de ellas.</t>
        </r>
      </text>
    </comment>
    <comment ref="G9" authorId="0" shapeId="0" xr:uid="{00000000-0006-0000-0100-000016000000}">
      <text>
        <r>
          <rPr>
            <sz val="11"/>
            <color theme="1"/>
            <rFont val="Calibri"/>
            <family val="2"/>
            <scheme val="minor"/>
          </rPr>
          <t>======
ID#AAABDq5TqyM
YULIED.PENARANDA    (2022-02-07 20:51:54)
Magnitud física y presupuestal para la totalidad del plan de desarrollo.</t>
        </r>
      </text>
    </comment>
    <comment ref="H9" authorId="0" shapeId="0" xr:uid="{00000000-0006-0000-0100-000017000000}">
      <text>
        <r>
          <rPr>
            <sz val="11"/>
            <color theme="1"/>
            <rFont val="Calibri"/>
            <family val="2"/>
            <scheme val="minor"/>
          </rPr>
          <t>======
ID#AAABDq5Tq6M
YULIED.PENARANDA    (2022-02-07 20:51:54)
Magnitud física y presupuestal  programada para el inicio del plan de desarrollo.</t>
        </r>
      </text>
    </comment>
    <comment ref="F10" authorId="0" shapeId="0" xr:uid="{00000000-0006-0000-0100-000018000000}">
      <text>
        <r>
          <rPr>
            <sz val="11"/>
            <color theme="1"/>
            <rFont val="Calibri"/>
            <family val="2"/>
            <scheme val="minor"/>
          </rPr>
          <t>======
ID#AAABDq5Tq1Q
YULIED.PENARANDA    (2023-11-09 13:07:33)
Magnitud física de la meta proyecto de inversión, a programar o a realizar seguimiento, según la columna en que se reporte.</t>
        </r>
      </text>
    </comment>
    <comment ref="F11" authorId="0" shapeId="0" xr:uid="{00000000-0006-0000-0100-000019000000}">
      <text>
        <r>
          <rPr>
            <sz val="11"/>
            <color theme="1"/>
            <rFont val="Calibri"/>
            <family val="2"/>
            <scheme val="minor"/>
          </rPr>
          <t>======
ID#AAABDq5Tq7k
YULIED.PENARANDA    (2023-11-09 13:07:34)
Este sirve de insumo para establecer el Plan Anual de Adquisiciones</t>
        </r>
      </text>
    </comment>
    <comment ref="F12" authorId="0" shapeId="0" xr:uid="{00000000-0006-0000-0100-00001A000000}">
      <text>
        <r>
          <rPr>
            <sz val="11"/>
            <color theme="1"/>
            <rFont val="Calibri"/>
            <family val="2"/>
            <scheme val="minor"/>
          </rPr>
          <t>======
ID#AAABDq5TrSA
YULIED.PENARANDA    (2023-11-09 13:07:34)
Este debe corresponder con la programación del  Plan Anual de Caja- PAC de la vigencia</t>
        </r>
      </text>
    </comment>
    <comment ref="F13" authorId="0" shapeId="0" xr:uid="{00000000-0006-0000-0100-00001B000000}">
      <text>
        <r>
          <rPr>
            <sz val="11"/>
            <color theme="1"/>
            <rFont val="Calibri"/>
            <family val="2"/>
            <scheme val="minor"/>
          </rPr>
          <t>======
ID#AAABDq5TqxE
YULIED.PENARANDA    (2023-11-09 13:07:33)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sz val="11"/>
            <color theme="1"/>
            <rFont val="Calibri"/>
            <family val="2"/>
            <scheme val="minor"/>
          </rPr>
          <t>======
ID#AAABDq5Tq3I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sz val="11"/>
            <color theme="1"/>
            <rFont val="Calibri"/>
            <family val="2"/>
            <scheme val="minor"/>
          </rPr>
          <t>======
ID#AAABDq5Trl0
YULIED.PENARANDA    (2023-11-09 13:07:34)
Para las metas de tipología suma (vigencia *reservas). Para las demás tipos de metas se asocia el mismo dato de la vigencia.</t>
        </r>
      </text>
    </comment>
    <comment ref="F16" authorId="0" shapeId="0" xr:uid="{00000000-0006-0000-0100-00001E000000}">
      <text>
        <r>
          <rPr>
            <sz val="11"/>
            <color theme="1"/>
            <rFont val="Calibri"/>
            <family val="2"/>
            <scheme val="minor"/>
          </rPr>
          <t>======
ID#AAABDq5Tq8Y
YULIED.PENARANDA    (2023-11-09 13:07:34)
Se suma los recursos presupuestales (vigencia + reservas)</t>
        </r>
      </text>
    </comment>
    <comment ref="F17" authorId="0" shapeId="0" xr:uid="{00000000-0006-0000-0100-00001F000000}">
      <text>
        <r>
          <rPr>
            <sz val="11"/>
            <color theme="1"/>
            <rFont val="Calibri"/>
            <family val="2"/>
            <scheme val="minor"/>
          </rPr>
          <t>======
ID#AAABDq5TrDQ
YULIED.PENARANDA    (2023-11-09 13:07:34)
Magnitud física de la meta proyecto de inversión, a programar o a realizar seguimiento, según la columna en que se reporte.</t>
        </r>
      </text>
    </comment>
    <comment ref="F18" authorId="0" shapeId="0" xr:uid="{00000000-0006-0000-0100-000020000000}">
      <text>
        <r>
          <rPr>
            <sz val="11"/>
            <color theme="1"/>
            <rFont val="Calibri"/>
            <family val="2"/>
            <scheme val="minor"/>
          </rPr>
          <t>======
ID#AAABDq5TrUI
YULIED.PENARANDA    (2023-11-09 13:07:34)
Este sirve de insumo para establecer el Plan Anual de Adquisiciones</t>
        </r>
      </text>
    </comment>
    <comment ref="F19" authorId="0" shapeId="0" xr:uid="{00000000-0006-0000-0100-000021000000}">
      <text>
        <r>
          <rPr>
            <sz val="11"/>
            <color theme="1"/>
            <rFont val="Calibri"/>
            <family val="2"/>
            <scheme val="minor"/>
          </rPr>
          <t>======
ID#AAABDq5Tqwo
YULIED.PENARANDA    (2023-11-09 13:07:34)
Este debe corresponder con la programación del  Plan Anual de Caja- PAC de la vigencia</t>
        </r>
      </text>
    </comment>
    <comment ref="F20" authorId="0" shapeId="0" xr:uid="{00000000-0006-0000-0100-000022000000}">
      <text>
        <r>
          <rPr>
            <sz val="11"/>
            <color theme="1"/>
            <rFont val="Calibri"/>
            <family val="2"/>
            <scheme val="minor"/>
          </rPr>
          <t>======
ID#AAABDq5Trtg
YULIED.PENARANDA    (2023-11-09 13:07:33)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sz val="11"/>
            <color theme="1"/>
            <rFont val="Calibri"/>
            <family val="2"/>
            <scheme val="minor"/>
          </rPr>
          <t>======
ID#AAABDq5Tq8k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sz val="11"/>
            <color theme="1"/>
            <rFont val="Calibri"/>
            <family val="2"/>
            <scheme val="minor"/>
          </rPr>
          <t>======
ID#AAABDq5TrOM
YULIED.PENARANDA    (2023-11-09 13:07:33)
Para las metas de tipología suma (vigencia *reservas). Para las demás tipos de metas se asocia el mismo dato de la vigencia.</t>
        </r>
      </text>
    </comment>
    <comment ref="F23" authorId="0" shapeId="0" xr:uid="{00000000-0006-0000-0100-000025000000}">
      <text>
        <r>
          <rPr>
            <sz val="11"/>
            <color theme="1"/>
            <rFont val="Calibri"/>
            <family val="2"/>
            <scheme val="minor"/>
          </rPr>
          <t>======
ID#AAABDq5Trn0
YULIED.PENARANDA    (2023-11-09 13:07:34)
Se suma los recursos presupuestales (vigencia + reservas)</t>
        </r>
      </text>
    </comment>
    <comment ref="F24" authorId="0" shapeId="0" xr:uid="{00000000-0006-0000-0100-000026000000}">
      <text>
        <r>
          <rPr>
            <sz val="11"/>
            <color theme="1"/>
            <rFont val="Calibri"/>
            <family val="2"/>
            <scheme val="minor"/>
          </rPr>
          <t>======
ID#AAABDq5TrW8
YULIED.PENARANDA    (2023-11-09 13:07:33)
Magnitud física de la meta proyecto de inversión, a programar o a realizar seguimiento, según la columna en que se reporte.</t>
        </r>
      </text>
    </comment>
    <comment ref="F25" authorId="0" shapeId="0" xr:uid="{00000000-0006-0000-0100-000027000000}">
      <text>
        <r>
          <rPr>
            <sz val="11"/>
            <color theme="1"/>
            <rFont val="Calibri"/>
            <family val="2"/>
            <scheme val="minor"/>
          </rPr>
          <t>======
ID#AAABDq5Tqoo
YULIED.PENARANDA    (2023-11-09 13:07:33)
Este sirve de insumo para establecer el Plan Anual de Adquisiciones</t>
        </r>
      </text>
    </comment>
    <comment ref="F26" authorId="0" shapeId="0" xr:uid="{00000000-0006-0000-0100-000028000000}">
      <text>
        <r>
          <rPr>
            <sz val="11"/>
            <color theme="1"/>
            <rFont val="Calibri"/>
            <family val="2"/>
            <scheme val="minor"/>
          </rPr>
          <t>======
ID#AAABDq5Tqps
YULIED.PENARANDA    (2023-11-09 13:07:33)
Este debe corresponder con la programación del  Plan Anual de Caja- PAC de la vigencia</t>
        </r>
      </text>
    </comment>
    <comment ref="F27" authorId="0" shapeId="0" xr:uid="{00000000-0006-0000-0100-000029000000}">
      <text>
        <r>
          <rPr>
            <sz val="11"/>
            <color theme="1"/>
            <rFont val="Calibri"/>
            <family val="2"/>
            <scheme val="minor"/>
          </rPr>
          <t>======
ID#AAABDq5TrtI
YULIED.PENARANDA    (2023-11-09 13:07:33)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sz val="11"/>
            <color theme="1"/>
            <rFont val="Calibri"/>
            <family val="2"/>
            <scheme val="minor"/>
          </rPr>
          <t>======
ID#AAABDq5TrX0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sz val="11"/>
            <color theme="1"/>
            <rFont val="Calibri"/>
            <family val="2"/>
            <scheme val="minor"/>
          </rPr>
          <t>======
ID#AAABDq5TrUM
YULIED.PENARANDA    (2023-11-09 13:07:34)
Para las metas de tipología suma (vigencia *reservas). Para las demás tipos de metas se asocia el mismo dato de la vigencia.</t>
        </r>
      </text>
    </comment>
    <comment ref="F30" authorId="0" shapeId="0" xr:uid="{00000000-0006-0000-0100-00002C000000}">
      <text>
        <r>
          <rPr>
            <sz val="11"/>
            <color theme="1"/>
            <rFont val="Calibri"/>
            <family val="2"/>
            <scheme val="minor"/>
          </rPr>
          <t>======
ID#AAABDq5Trnc
YULIED.PENARANDA    (2023-11-09 13:07:34)
Se suma los recursos presupuestales (vigencia + reservas)</t>
        </r>
      </text>
    </comment>
    <comment ref="F31" authorId="0" shapeId="0" xr:uid="{00000000-0006-0000-0100-00002D000000}">
      <text>
        <r>
          <rPr>
            <sz val="11"/>
            <color theme="1"/>
            <rFont val="Calibri"/>
            <family val="2"/>
            <scheme val="minor"/>
          </rPr>
          <t>======
ID#AAABDq5TrLE
YULIED.PENARANDA    (2023-11-09 13:07:34)
Magnitud física de la meta proyecto de inversión, a programar o a realizar seguimiento, según la columna en que se reporte.</t>
        </r>
      </text>
    </comment>
    <comment ref="F32" authorId="0" shapeId="0" xr:uid="{00000000-0006-0000-0100-00002E000000}">
      <text>
        <r>
          <rPr>
            <sz val="11"/>
            <color theme="1"/>
            <rFont val="Calibri"/>
            <family val="2"/>
            <scheme val="minor"/>
          </rPr>
          <t>======
ID#AAABDq5TrH4
YULIED.PENARANDA    (2023-11-09 13:07:33)
Este sirve de insumo para establecer el Plan Anual de Adquisiciones</t>
        </r>
      </text>
    </comment>
    <comment ref="F33" authorId="0" shapeId="0" xr:uid="{00000000-0006-0000-0100-00002F000000}">
      <text>
        <r>
          <rPr>
            <sz val="11"/>
            <color theme="1"/>
            <rFont val="Calibri"/>
            <family val="2"/>
            <scheme val="minor"/>
          </rPr>
          <t>======
ID#AAABDq5TrGI
YULIED.PENARANDA    (2023-11-09 13:07:34)
Este debe corresponder con la programación del  Plan Anual de Caja- PAC de la vigencia</t>
        </r>
      </text>
    </comment>
    <comment ref="F34" authorId="0" shapeId="0" xr:uid="{00000000-0006-0000-0100-000030000000}">
      <text>
        <r>
          <rPr>
            <sz val="11"/>
            <color theme="1"/>
            <rFont val="Calibri"/>
            <family val="2"/>
            <scheme val="minor"/>
          </rPr>
          <t>======
ID#AAABDq5TrdM
YULIED.PENARANDA    (2023-11-09 13:07:34)
Magnitud física asociada a la reservas,  aplica para las meta con tipología suma, las cuales se pueden desagregar por los compromisos contraídos que al cierre de la vigencia fiscal no  se cumplieron.</t>
        </r>
      </text>
    </comment>
    <comment ref="F35" authorId="0" shapeId="0" xr:uid="{00000000-0006-0000-0100-000031000000}">
      <text>
        <r>
          <rPr>
            <sz val="11"/>
            <color theme="1"/>
            <rFont val="Calibri"/>
            <family val="2"/>
            <scheme val="minor"/>
          </rPr>
          <t>======
ID#AAABDq5TrJc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2000000}">
      <text>
        <r>
          <rPr>
            <sz val="11"/>
            <color theme="1"/>
            <rFont val="Calibri"/>
            <family val="2"/>
            <scheme val="minor"/>
          </rPr>
          <t>======
ID#AAABDq5TrYY
YULIED.PENARANDA    (2023-11-09 13:07:34)
Para las metas de tipología suma (vigencia *reservas). Para las demás tipos de metas se asocia el mismo dato de la vigencia.</t>
        </r>
      </text>
    </comment>
    <comment ref="F37" authorId="0" shapeId="0" xr:uid="{00000000-0006-0000-0100-000033000000}">
      <text>
        <r>
          <rPr>
            <sz val="11"/>
            <color theme="1"/>
            <rFont val="Calibri"/>
            <family val="2"/>
            <scheme val="minor"/>
          </rPr>
          <t>======
ID#AAABDq5Trd0
YULIED.PENARANDA    (2023-11-09 13:07:34)
Se suma los recursos presupuestales (vigencia + reservas)</t>
        </r>
      </text>
    </comment>
    <comment ref="F38" authorId="0" shapeId="0" xr:uid="{00000000-0006-0000-0100-000034000000}">
      <text>
        <r>
          <rPr>
            <sz val="11"/>
            <color theme="1"/>
            <rFont val="Calibri"/>
            <family val="2"/>
            <scheme val="minor"/>
          </rPr>
          <t>======
ID#AAABDq5TrsI
YULIED.PENARANDA    (2023-11-09 13:07:33)
Magnitud física de la meta proyecto de inversión, a programar o a realizar seguimiento, según la columna en que se reporte.</t>
        </r>
      </text>
    </comment>
    <comment ref="F39" authorId="0" shapeId="0" xr:uid="{00000000-0006-0000-0100-000035000000}">
      <text>
        <r>
          <rPr>
            <sz val="11"/>
            <color theme="1"/>
            <rFont val="Calibri"/>
            <family val="2"/>
            <scheme val="minor"/>
          </rPr>
          <t>======
ID#AAABDq5Trvc
YULIED.PENARANDA    (2023-11-09 13:07:34)
Este sirve de insumo para establecer el Plan Anual de Adquisiciones</t>
        </r>
      </text>
    </comment>
    <comment ref="F40" authorId="0" shapeId="0" xr:uid="{00000000-0006-0000-0100-000036000000}">
      <text>
        <r>
          <rPr>
            <sz val="11"/>
            <color theme="1"/>
            <rFont val="Calibri"/>
            <family val="2"/>
            <scheme val="minor"/>
          </rPr>
          <t>======
ID#AAABDq5TrVQ
YULIED.PENARANDA    (2023-11-09 13:07:33)
Este debe corresponder con la programación del  Plan Anual de Caja- PAC de la vigencia</t>
        </r>
      </text>
    </comment>
    <comment ref="F41" authorId="0" shapeId="0" xr:uid="{00000000-0006-0000-0100-000037000000}">
      <text>
        <r>
          <rPr>
            <sz val="11"/>
            <color theme="1"/>
            <rFont val="Calibri"/>
            <family val="2"/>
            <scheme val="minor"/>
          </rPr>
          <t>======
ID#AAABDq5Trjs
YULIED.PENARANDA    (2023-11-09 13:07:34)
Magnitud física asociada a la reservas,  aplica para las meta con tipología suma, las cuales se pueden desagregar por los compromisos contraídos que al cierre de la vigencia fiscal no  se cumplieron.</t>
        </r>
      </text>
    </comment>
    <comment ref="F42" authorId="0" shapeId="0" xr:uid="{00000000-0006-0000-0100-000038000000}">
      <text>
        <r>
          <rPr>
            <sz val="11"/>
            <color theme="1"/>
            <rFont val="Calibri"/>
            <family val="2"/>
            <scheme val="minor"/>
          </rPr>
          <t>======
ID#AAABDq5Treo
YULIED.PENARANDA    (2023-11-09 13:07:33)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39000000}">
      <text>
        <r>
          <rPr>
            <sz val="11"/>
            <color theme="1"/>
            <rFont val="Calibri"/>
            <family val="2"/>
            <scheme val="minor"/>
          </rPr>
          <t>======
ID#AAABDq5TrEg
YULIED.PENARANDA    (2023-11-09 13:07:34)
Para las metas de tipología suma (vigencia *reservas). Para las demás tipos de metas se asocia el mismo dato de la vigencia.</t>
        </r>
      </text>
    </comment>
    <comment ref="F44" authorId="0" shapeId="0" xr:uid="{00000000-0006-0000-0100-00003A000000}">
      <text>
        <r>
          <rPr>
            <sz val="11"/>
            <color theme="1"/>
            <rFont val="Calibri"/>
            <family val="2"/>
            <scheme val="minor"/>
          </rPr>
          <t>======
ID#AAABDq5TraI
YULIED.PENARANDA    (2023-11-09 13:07:33)
Se suma los recursos presupuestales (vigencia + reservas)</t>
        </r>
      </text>
    </comment>
    <comment ref="F45" authorId="0" shapeId="0" xr:uid="{00000000-0006-0000-0100-00003B000000}">
      <text>
        <r>
          <rPr>
            <sz val="11"/>
            <color theme="1"/>
            <rFont val="Calibri"/>
            <family val="2"/>
            <scheme val="minor"/>
          </rPr>
          <t>======
ID#AAABDq5TrsY
YULIED.PENARANDA    (2023-11-09 13:07:33)
Magnitud física de la meta proyecto de inversión, a programar o a realizar seguimiento, según la columna en que se reporte.</t>
        </r>
      </text>
    </comment>
    <comment ref="F46" authorId="0" shapeId="0" xr:uid="{00000000-0006-0000-0100-00003C000000}">
      <text>
        <r>
          <rPr>
            <sz val="11"/>
            <color theme="1"/>
            <rFont val="Calibri"/>
            <family val="2"/>
            <scheme val="minor"/>
          </rPr>
          <t>======
ID#AAABDq5TrUA
YULIED.PENARANDA    (2023-11-09 13:07:34)
Este sirve de insumo para establecer el Plan Anual de Adquisiciones</t>
        </r>
      </text>
    </comment>
    <comment ref="F47" authorId="0" shapeId="0" xr:uid="{00000000-0006-0000-0100-00003D000000}">
      <text>
        <r>
          <rPr>
            <sz val="11"/>
            <color theme="1"/>
            <rFont val="Calibri"/>
            <family val="2"/>
            <scheme val="minor"/>
          </rPr>
          <t>======
ID#AAABDq5TrDA
YULIED.PENARANDA    (2023-11-09 13:07:34)
Este debe corresponder con la programación del  Plan Anual de Caja- PAC de la vigencia</t>
        </r>
      </text>
    </comment>
    <comment ref="F48" authorId="0" shapeId="0" xr:uid="{00000000-0006-0000-0100-00003E000000}">
      <text>
        <r>
          <rPr>
            <sz val="11"/>
            <color theme="1"/>
            <rFont val="Calibri"/>
            <family val="2"/>
            <scheme val="minor"/>
          </rPr>
          <t>======
ID#AAABDq5TrBk
YULIED.PENARANDA    (2023-11-09 13:07:34)
Magnitud física asociada a la reservas,  aplica para las meta con tipología suma, las cuales se pueden desagregar por los compromisos contraídos que al cierre de la vigencia fiscal no  se cumplieron.</t>
        </r>
      </text>
    </comment>
    <comment ref="F49" authorId="0" shapeId="0" xr:uid="{00000000-0006-0000-0100-00003F000000}">
      <text>
        <r>
          <rPr>
            <sz val="11"/>
            <color theme="1"/>
            <rFont val="Calibri"/>
            <family val="2"/>
            <scheme val="minor"/>
          </rPr>
          <t>======
ID#AAABDq5Trmo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50" authorId="0" shapeId="0" xr:uid="{00000000-0006-0000-0100-000040000000}">
      <text>
        <r>
          <rPr>
            <sz val="11"/>
            <color theme="1"/>
            <rFont val="Calibri"/>
            <family val="2"/>
            <scheme val="minor"/>
          </rPr>
          <t>======
ID#AAABDq5TrP8
YULIED.PENARANDA    (2023-11-09 13:07:33)
Para las metas de tipología suma (vigencia *reservas). Para las demás tipos de metas se asocia el mismo dato de la vigencia.</t>
        </r>
      </text>
    </comment>
    <comment ref="F51" authorId="0" shapeId="0" xr:uid="{00000000-0006-0000-0100-000041000000}">
      <text>
        <r>
          <rPr>
            <sz val="11"/>
            <color theme="1"/>
            <rFont val="Calibri"/>
            <family val="2"/>
            <scheme val="minor"/>
          </rPr>
          <t>======
ID#AAABDq5Trj4
YULIED.PENARANDA    (2023-11-09 13:07:34)
Se suma los recursos presupuestales (vigencia + reservas)</t>
        </r>
      </text>
    </comment>
    <comment ref="F52" authorId="0" shapeId="0" xr:uid="{00000000-0006-0000-0100-000042000000}">
      <text>
        <r>
          <rPr>
            <sz val="11"/>
            <color theme="1"/>
            <rFont val="Calibri"/>
            <family val="2"/>
            <scheme val="minor"/>
          </rPr>
          <t>======
ID#AAABDq5TrOQ
YULIED.PENARANDA    (2023-11-09 13:07:34)
Magnitud física de la meta proyecto de inversión, a programar o a realizar seguimiento, según la columna en que se reporte.</t>
        </r>
      </text>
    </comment>
    <comment ref="F53" authorId="0" shapeId="0" xr:uid="{00000000-0006-0000-0100-000043000000}">
      <text>
        <r>
          <rPr>
            <sz val="11"/>
            <color theme="1"/>
            <rFont val="Calibri"/>
            <family val="2"/>
            <scheme val="minor"/>
          </rPr>
          <t>======
ID#AAABDq5Trr0
YULIED.PENARANDA    (2023-11-09 13:07:34)
Este sirve de insumo para establecer el Plan Anual de Adquisiciones</t>
        </r>
      </text>
    </comment>
    <comment ref="F54" authorId="0" shapeId="0" xr:uid="{00000000-0006-0000-0100-000044000000}">
      <text>
        <r>
          <rPr>
            <sz val="11"/>
            <color theme="1"/>
            <rFont val="Calibri"/>
            <family val="2"/>
            <scheme val="minor"/>
          </rPr>
          <t>======
ID#AAABDq5Trjg
YULIED.PENARANDA    (2023-11-09 13:07:34)
Este debe corresponder con la programación del  Plan Anual de Caja- PAC de la vigencia</t>
        </r>
      </text>
    </comment>
    <comment ref="F55" authorId="0" shapeId="0" xr:uid="{00000000-0006-0000-0100-000045000000}">
      <text>
        <r>
          <rPr>
            <sz val="11"/>
            <color theme="1"/>
            <rFont val="Calibri"/>
            <family val="2"/>
            <scheme val="minor"/>
          </rPr>
          <t>======
ID#AAABDq5TrVk
YULIED.PENARANDA    (2023-11-09 13:07:33)
Magnitud física asociada a la reservas,  aplica para las meta con tipología suma, las cuales se pueden desagregar por los compromisos contraídos que al cierre de la vigencia fiscal no  se cumplieron.</t>
        </r>
      </text>
    </comment>
    <comment ref="F56" authorId="0" shapeId="0" xr:uid="{00000000-0006-0000-0100-000046000000}">
      <text>
        <r>
          <rPr>
            <sz val="11"/>
            <color theme="1"/>
            <rFont val="Calibri"/>
            <family val="2"/>
            <scheme val="minor"/>
          </rPr>
          <t>======
ID#AAABDq5Trfc
YULIED.PENARANDA    (2023-11-09 13:07:33)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57" authorId="0" shapeId="0" xr:uid="{00000000-0006-0000-0100-000047000000}">
      <text>
        <r>
          <rPr>
            <sz val="11"/>
            <color theme="1"/>
            <rFont val="Calibri"/>
            <family val="2"/>
            <scheme val="minor"/>
          </rPr>
          <t>======
ID#AAABDq5TqyA
YULIED.PENARANDA    (2023-11-09 13:07:34)
Para las metas de tipología suma (vigencia *reservas). Para las demás tipos de metas se asocia el mismo dato de la vigencia.</t>
        </r>
      </text>
    </comment>
    <comment ref="F58" authorId="0" shapeId="0" xr:uid="{00000000-0006-0000-0100-000048000000}">
      <text>
        <r>
          <rPr>
            <sz val="11"/>
            <color theme="1"/>
            <rFont val="Calibri"/>
            <family val="2"/>
            <scheme val="minor"/>
          </rPr>
          <t>======
ID#AAABDq5TrVo
YULIED.PENARANDA    (2023-11-09 13:07:34)
Se suma los recursos presupuestales (vigencia + reservas)</t>
        </r>
      </text>
    </comment>
    <comment ref="F59" authorId="0" shapeId="0" xr:uid="{00000000-0006-0000-0100-000049000000}">
      <text>
        <r>
          <rPr>
            <sz val="11"/>
            <color theme="1"/>
            <rFont val="Calibri"/>
            <family val="2"/>
            <scheme val="minor"/>
          </rPr>
          <t>======
ID#AAABDq5TrhY
YULIED.PENARANDA    (2023-11-09 13:07:33)
Magnitud física de la meta proyecto de inversión, a programar o a realizar seguimiento, según la columna en que se reporte.</t>
        </r>
      </text>
    </comment>
    <comment ref="F60" authorId="0" shapeId="0" xr:uid="{00000000-0006-0000-0100-00004A000000}">
      <text>
        <r>
          <rPr>
            <sz val="11"/>
            <color theme="1"/>
            <rFont val="Calibri"/>
            <family val="2"/>
            <scheme val="minor"/>
          </rPr>
          <t>======
ID#AAABDq5Trzk
YULIED.PENARANDA    (2023-11-09 13:07:33)
Este sirve de insumo para establecer el Plan Anual de Adquisiciones</t>
        </r>
      </text>
    </comment>
    <comment ref="F61" authorId="0" shapeId="0" xr:uid="{00000000-0006-0000-0100-00004B000000}">
      <text>
        <r>
          <rPr>
            <sz val="11"/>
            <color theme="1"/>
            <rFont val="Calibri"/>
            <family val="2"/>
            <scheme val="minor"/>
          </rPr>
          <t>======
ID#AAABDq5Tq5o
YULIED.PENARANDA    (2023-11-09 13:07:33)
Este debe corresponder con la programación del  Plan Anual de Caja- PAC de la vigencia</t>
        </r>
      </text>
    </comment>
    <comment ref="F62" authorId="0" shapeId="0" xr:uid="{00000000-0006-0000-0100-00004C000000}">
      <text>
        <r>
          <rPr>
            <sz val="11"/>
            <color theme="1"/>
            <rFont val="Calibri"/>
            <family val="2"/>
            <scheme val="minor"/>
          </rPr>
          <t>======
ID#AAABDq5TrSc
YULIED.PENARANDA    (2023-11-09 13:07:34)
Magnitud física asociada a la reservas,  aplica para las meta con tipología suma, las cuales se pueden desagregar por los compromisos contraídos que al cierre de la vigencia fiscal no  se cumplieron.</t>
        </r>
      </text>
    </comment>
    <comment ref="F63" authorId="0" shapeId="0" xr:uid="{00000000-0006-0000-0100-00004D000000}">
      <text>
        <r>
          <rPr>
            <sz val="11"/>
            <color theme="1"/>
            <rFont val="Calibri"/>
            <family val="2"/>
            <scheme val="minor"/>
          </rPr>
          <t>======
ID#AAABDq5Trpo
YULIED.PENARANDA    (2023-11-09 13:07:34)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64" authorId="0" shapeId="0" xr:uid="{00000000-0006-0000-0100-00004E000000}">
      <text>
        <r>
          <rPr>
            <sz val="11"/>
            <color theme="1"/>
            <rFont val="Calibri"/>
            <family val="2"/>
            <scheme val="minor"/>
          </rPr>
          <t>======
ID#AAABDq5TrJw
YULIED.PENARANDA    (2023-11-09 13:07:34)
Para las metas de tipología suma (vigencia *reservas). Para las demás tipos de metas se asocia el mismo dato de la vigencia.</t>
        </r>
      </text>
    </comment>
    <comment ref="F65" authorId="0" shapeId="0" xr:uid="{00000000-0006-0000-0100-00004F000000}">
      <text>
        <r>
          <rPr>
            <sz val="11"/>
            <color theme="1"/>
            <rFont val="Calibri"/>
            <family val="2"/>
            <scheme val="minor"/>
          </rPr>
          <t>======
ID#AAABDq5TrGM
YULIED.PENARANDA    (2023-11-09 13:07:33)
Se suma los recursos presupuestales (vigencia + reservas)</t>
        </r>
      </text>
    </comment>
    <comment ref="F66" authorId="0" shapeId="0" xr:uid="{00000000-0006-0000-0100-000050000000}">
      <text>
        <r>
          <rPr>
            <sz val="11"/>
            <color theme="1"/>
            <rFont val="Calibri"/>
            <family val="2"/>
            <scheme val="minor"/>
          </rPr>
          <t>======
ID#AAABDq5TrQ8
YULIED.PENARANDA    (2023-11-09 13:07:34)
Magnitud física de la meta proyecto de inversión, a programar o a realizar seguimiento, según la columna en que se reporte.</t>
        </r>
      </text>
    </comment>
    <comment ref="F67" authorId="0" shapeId="0" xr:uid="{00000000-0006-0000-0100-000051000000}">
      <text>
        <r>
          <rPr>
            <sz val="11"/>
            <color theme="1"/>
            <rFont val="Calibri"/>
            <family val="2"/>
            <scheme val="minor"/>
          </rPr>
          <t>======
ID#AAABDq5Tqyg
YULIED.PENARANDA    (2023-11-09 13:07:33)
Este sirve de insumo para establecer el Plan Anual de Adquisiciones</t>
        </r>
      </text>
    </comment>
    <comment ref="F68" authorId="0" shapeId="0" xr:uid="{00000000-0006-0000-0100-000052000000}">
      <text>
        <r>
          <rPr>
            <sz val="11"/>
            <color theme="1"/>
            <rFont val="Calibri"/>
            <family val="2"/>
            <scheme val="minor"/>
          </rPr>
          <t>======
ID#AAABDq5TrXk
YULIED.PENARANDA    (2023-11-09 13:07:33)
Este debe corresponder con la programación del  Plan Anual de Caja- PAC de la vigencia</t>
        </r>
      </text>
    </comment>
    <comment ref="F69" authorId="0" shapeId="0" xr:uid="{00000000-0006-0000-0100-000053000000}">
      <text>
        <r>
          <rPr>
            <sz val="11"/>
            <color theme="1"/>
            <rFont val="Calibri"/>
            <family val="2"/>
            <scheme val="minor"/>
          </rPr>
          <t>======
ID#AAABDq5Trk8
YULIED.PENARANDA    (2023-11-09 13:07:33)
Magnitud física asociada a la reservas,  aplica para las meta con tipología suma, las cuales se pueden desagregar por los compromisos contraídos que al cierre de la vigencia fiscal no  se cumplieron.</t>
        </r>
      </text>
    </comment>
    <comment ref="F70" authorId="0" shapeId="0" xr:uid="{00000000-0006-0000-0100-000054000000}">
      <text>
        <r>
          <rPr>
            <sz val="11"/>
            <color theme="1"/>
            <rFont val="Calibri"/>
            <family val="2"/>
            <scheme val="minor"/>
          </rPr>
          <t>======
ID#AAABDq5TrcE
YULIED.PENARANDA    (2023-11-09 13:07:33)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71" authorId="0" shapeId="0" xr:uid="{00000000-0006-0000-0100-000055000000}">
      <text>
        <r>
          <rPr>
            <sz val="11"/>
            <color theme="1"/>
            <rFont val="Calibri"/>
            <family val="2"/>
            <scheme val="minor"/>
          </rPr>
          <t>======
ID#AAABDq5TrYE
YULIED.PENARANDA    (2023-11-09 13:07:33)
Para las metas de tipología suma (vigencia *reservas). Para las demás tipos de metas se asocia el mismo dato de la vigencia.</t>
        </r>
      </text>
    </comment>
    <comment ref="F72" authorId="0" shapeId="0" xr:uid="{00000000-0006-0000-0100-000056000000}">
      <text>
        <r>
          <rPr>
            <sz val="11"/>
            <color theme="1"/>
            <rFont val="Calibri"/>
            <family val="2"/>
            <scheme val="minor"/>
          </rPr>
          <t>======
ID#AAABDq5TrTQ
YULIED.PENARANDA    (2023-11-09 13:07:34)
Se suma los recursos presupuestales (vigencia + reservas)</t>
        </r>
      </text>
    </comment>
    <comment ref="F73" authorId="0" shapeId="0" xr:uid="{00000000-0006-0000-0100-000057000000}">
      <text>
        <r>
          <rPr>
            <sz val="11"/>
            <color theme="1"/>
            <rFont val="Calibri"/>
            <family val="2"/>
            <scheme val="minor"/>
          </rPr>
          <t>======
ID#AAABDq5TrLI
YULIED.PENARANDA    (2023-11-09 13:07:34)
Magnitud física de la meta proyecto de inversión, a programar o a realizar seguimiento, según la columna en que se reporte.</t>
        </r>
      </text>
    </comment>
    <comment ref="F74" authorId="0" shapeId="0" xr:uid="{00000000-0006-0000-0100-000058000000}">
      <text>
        <r>
          <rPr>
            <sz val="11"/>
            <color theme="1"/>
            <rFont val="Calibri"/>
            <family val="2"/>
            <scheme val="minor"/>
          </rPr>
          <t>======
ID#AAABDq5TrvA
YULIED.PENARANDA    (2023-11-09 13:07:34)
Este sirve de insumo para establecer el Plan Anual de Adquisiciones</t>
        </r>
      </text>
    </comment>
    <comment ref="F75" authorId="0" shapeId="0" xr:uid="{00000000-0006-0000-0100-000059000000}">
      <text>
        <r>
          <rPr>
            <sz val="11"/>
            <color theme="1"/>
            <rFont val="Calibri"/>
            <family val="2"/>
            <scheme val="minor"/>
          </rPr>
          <t>======
ID#AAABDq5TrZk
YULIED.PENARANDA    (2023-11-09 13:07:33)
Este debe corresponder con la programación del  Plan Anual de Caja- PAC de la vigencia</t>
        </r>
      </text>
    </comment>
    <comment ref="F76" authorId="0" shapeId="0" xr:uid="{00000000-0006-0000-0100-00005A000000}">
      <text>
        <r>
          <rPr>
            <sz val="11"/>
            <color theme="1"/>
            <rFont val="Calibri"/>
            <family val="2"/>
            <scheme val="minor"/>
          </rPr>
          <t>======
ID#AAABDq5Tq_g
YULIED.PENARANDA    (2023-11-09 13:07:34)
Magnitud física asociada a la reservas,  aplica para las meta con tipología suma, las cuales se pueden desagregar por los compromisos contraídos que al cierre de la vigencia fiscal no  se cumplieron.</t>
        </r>
      </text>
    </comment>
    <comment ref="F77" authorId="0" shapeId="0" xr:uid="{00000000-0006-0000-0100-00005B000000}">
      <text>
        <r>
          <rPr>
            <sz val="11"/>
            <color theme="1"/>
            <rFont val="Calibri"/>
            <family val="2"/>
            <scheme val="minor"/>
          </rPr>
          <t>======
ID#AAABDq5TrG0
YULIED.PENARANDA    (2023-11-09 13:07:33)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78" authorId="0" shapeId="0" xr:uid="{00000000-0006-0000-0100-00005C000000}">
      <text>
        <r>
          <rPr>
            <sz val="11"/>
            <color theme="1"/>
            <rFont val="Calibri"/>
            <family val="2"/>
            <scheme val="minor"/>
          </rPr>
          <t>======
ID#AAABDq5Tq5s
YULIED.PENARANDA    (2023-11-09 13:07:34)
Para las metas de tipología suma (vigencia *reservas). Para las demás tipos de metas se asocia el mismo dato de la vigencia.</t>
        </r>
      </text>
    </comment>
    <comment ref="F79" authorId="0" shapeId="0" xr:uid="{00000000-0006-0000-0100-00005D000000}">
      <text>
        <r>
          <rPr>
            <sz val="11"/>
            <color theme="1"/>
            <rFont val="Calibri"/>
            <family val="2"/>
            <scheme val="minor"/>
          </rPr>
          <t>======
ID#AAABDq5TrP0
YULIED.PENARANDA    (2023-11-09 13:07:34)
Se suma los recursos presupuestales (vigencia + reservas)</t>
        </r>
      </text>
    </comment>
    <comment ref="F80" authorId="0" shapeId="0" xr:uid="{00000000-0006-0000-0100-00005E000000}">
      <text>
        <r>
          <rPr>
            <sz val="11"/>
            <color theme="1"/>
            <rFont val="Calibri"/>
            <family val="2"/>
            <scheme val="minor"/>
          </rPr>
          <t>======
ID#AAABDq5Trto
YULIED.PENARANDA    (2023-11-09 13:07:34)
Se suma los recursos presupuestales de la vigencia, por cada meta de inversión del proyecto</t>
        </r>
      </text>
    </comment>
    <comment ref="F81" authorId="0" shapeId="0" xr:uid="{00000000-0006-0000-0100-00005F000000}">
      <text>
        <r>
          <rPr>
            <sz val="11"/>
            <color theme="1"/>
            <rFont val="Calibri"/>
            <family val="2"/>
            <scheme val="minor"/>
          </rPr>
          <t>======
ID#AAABDq5TrWM
YULIED.PENARANDA    (2023-11-09 13:07:34)
Se suma los recursos presupuestales de la reserva, por cada meta de inversión del proyecto</t>
        </r>
      </text>
    </comment>
    <comment ref="F82" authorId="0" shapeId="0" xr:uid="{00000000-0006-0000-0100-000060000000}">
      <text>
        <r>
          <rPr>
            <sz val="11"/>
            <color theme="1"/>
            <rFont val="Calibri"/>
            <family val="2"/>
            <scheme val="minor"/>
          </rPr>
          <t>======
ID#AAABDq5Tq-w
YULIED.PENARANDA    (2023-11-09 13:07:34)
Se suma los recursos presupuestales (vigencia + reservas)</t>
        </r>
      </text>
    </comment>
  </commentList>
  <extLst>
    <ext xmlns:r="http://schemas.openxmlformats.org/officeDocument/2006/relationships" uri="GoogleSheetsCustomDataVersion2">
      <go:sheetsCustomData xmlns:go="http://customooxmlschemas.google.com/" r:id="rId1" roundtripDataSignature="AMtx7mgb806XcMS6inm4GMZfl3WGhwzyg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200-000001000000}">
      <text>
        <r>
          <rPr>
            <sz val="11"/>
            <color theme="1"/>
            <rFont val="Calibri"/>
            <family val="2"/>
            <scheme val="minor"/>
          </rPr>
          <t>======
ID#AAABDq5TrZw
YULIED.PENARANDA    (2023-11-09 13:07:33)
Describir el nombre completo de la oficina, dirección o subdirección que gerencia el proyecto de inversión.</t>
        </r>
      </text>
    </comment>
    <comment ref="A5" authorId="0" shapeId="0" xr:uid="{00000000-0006-0000-0200-000002000000}">
      <text>
        <r>
          <rPr>
            <sz val="11"/>
            <color theme="1"/>
            <rFont val="Calibri"/>
            <family val="2"/>
            <scheme val="minor"/>
          </rPr>
          <t>======
ID#AAABDq5Tq8I
YULIED.PENARANDA    (2023-11-09 13:07:33)
Describir el número y nombre completo del proyecto de inversión.</t>
        </r>
      </text>
    </comment>
    <comment ref="A7" authorId="0" shapeId="0" xr:uid="{00000000-0006-0000-0200-000003000000}">
      <text>
        <r>
          <rPr>
            <sz val="11"/>
            <color theme="1"/>
            <rFont val="Calibri"/>
            <family val="2"/>
            <scheme val="minor"/>
          </rPr>
          <t>======
ID#AAABDq5TrmM
YULIED.PENARANDA    (2023-11-09 13:07:33)
Se escribe el nombre completo de las líneas de acción, quien nos dan una visión general de los grandes temas del proyecto, forman parte integral del mismo.</t>
        </r>
      </text>
    </comment>
    <comment ref="B7" authorId="0" shapeId="0" xr:uid="{00000000-0006-0000-0200-000004000000}">
      <text>
        <r>
          <rPr>
            <sz val="11"/>
            <color theme="1"/>
            <rFont val="Calibri"/>
            <family val="2"/>
            <scheme val="minor"/>
          </rPr>
          <t>======
ID#AAABDq5Trq8
YULIED.PENARANDA    (2023-11-09 13:07:34)
Se deben relacionar todas las metas proyecto de inversión formuladas para la ejecución del proyecto.</t>
        </r>
      </text>
    </comment>
    <comment ref="C7" authorId="0" shapeId="0" xr:uid="{00000000-0006-0000-0200-000005000000}">
      <text>
        <r>
          <rPr>
            <sz val="11"/>
            <color theme="1"/>
            <rFont val="Calibri"/>
            <family val="2"/>
            <scheme val="minor"/>
          </rPr>
          <t>======
ID#AAABDq5Trr8
YULIED.PENARANDA    (2023-11-09 13:07:34)
Código y descripción de cada actividad en orden cronológico para el cumplimiento de la meta proyecto de inversión.    Máximo de caracteres 200 incluido espacios.</t>
        </r>
      </text>
    </comment>
    <comment ref="D7" authorId="0" shapeId="0" xr:uid="{00000000-0006-0000-0200-000006000000}">
      <text>
        <r>
          <rPr>
            <sz val="11"/>
            <color theme="1"/>
            <rFont val="Calibri"/>
            <family val="2"/>
            <scheme val="minor"/>
          </rPr>
          <t>======
ID#AAABDq5TrJA
YULIED.PENARANDA    (2023-11-09 13:07:34)
Se selecciona con “X” si el presupuesto con el que se ejecuta la actividad es con recursos de vigencia y/o de la reserva.</t>
        </r>
      </text>
    </comment>
    <comment ref="F7" authorId="0" shapeId="0" xr:uid="{00000000-0006-0000-0200-000007000000}">
      <text>
        <r>
          <rPr>
            <sz val="11"/>
            <color theme="1"/>
            <rFont val="Calibri"/>
            <family val="2"/>
            <scheme val="minor"/>
          </rPr>
          <t>======
ID#AAABDq5Trh0
YULIED.PENARANDA    (2023-11-09 13:07:34)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sz val="11"/>
            <color theme="1"/>
            <rFont val="Calibri"/>
            <family val="2"/>
            <scheme val="minor"/>
          </rPr>
          <t>======
ID#AAABDq5TrlI
YULIED.PENARANDA    (2023-11-09 13:07:34)
Peso porcentual de la meta y actividad, al final del resultado nos da el 100%</t>
        </r>
      </text>
    </comment>
    <comment ref="V7" authorId="0" shapeId="0" xr:uid="{00000000-0006-0000-0200-000009000000}">
      <text>
        <r>
          <rPr>
            <sz val="11"/>
            <color theme="1"/>
            <rFont val="Calibri"/>
            <family val="2"/>
            <scheme val="minor"/>
          </rPr>
          <t>======
ID#AAABDq5TrUg
YULIED.PENARANDA    (2023-11-09 13:07:33)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sz val="11"/>
            <color theme="1"/>
            <rFont val="Calibri"/>
            <family val="2"/>
            <scheme val="minor"/>
          </rPr>
          <t>======
ID#AAABDq5Tqvg
YULIED.PENARANDA    (2023-11-09 13:07:34)
Este campo se selecciona con “X” si el presupuesto con el que se ejecuta la actividad es con recursos de vigencia</t>
        </r>
      </text>
    </comment>
    <comment ref="E8" authorId="0" shapeId="0" xr:uid="{00000000-0006-0000-0200-00000B000000}">
      <text>
        <r>
          <rPr>
            <sz val="11"/>
            <color theme="1"/>
            <rFont val="Calibri"/>
            <family val="2"/>
            <scheme val="minor"/>
          </rPr>
          <t>======
ID#AAABDq5TrPQ
YULIED.PENARANDA    (2023-11-09 13:07:33)
Este campo se selecciona con “X” si el presupuesto con el que se ejecuta la actividad es con recursos  de la reserva.</t>
        </r>
      </text>
    </comment>
    <comment ref="F8" authorId="0" shapeId="0" xr:uid="{00000000-0006-0000-0200-00000C000000}">
      <text>
        <r>
          <rPr>
            <sz val="11"/>
            <color theme="1"/>
            <rFont val="Calibri"/>
            <family val="2"/>
            <scheme val="minor"/>
          </rPr>
          <t>======
ID#AAABDq5Tq_A
YULIED.PENARANDA    (2023-11-09 13:07:33)
Variables: programado y ejecutado</t>
        </r>
      </text>
    </comment>
    <comment ref="G8" authorId="0" shapeId="0" xr:uid="{00000000-0006-0000-0200-00000D000000}">
      <text>
        <r>
          <rPr>
            <sz val="11"/>
            <color theme="1"/>
            <rFont val="Calibri"/>
            <family val="2"/>
            <scheme val="minor"/>
          </rPr>
          <t>======
ID#AAABDq5Trqo
YULIED.PENARANDA    (2023-11-09 13:07:33)
Máximo dos decimales</t>
        </r>
      </text>
    </comment>
    <comment ref="H8" authorId="0" shapeId="0" xr:uid="{00000000-0006-0000-0200-00000E000000}">
      <text>
        <r>
          <rPr>
            <sz val="11"/>
            <color theme="1"/>
            <rFont val="Calibri"/>
            <family val="2"/>
            <scheme val="minor"/>
          </rPr>
          <t>======
ID#AAABDq5Tqow
YULIED.PENARANDA    (2023-11-09 13:07:33)
Máximo dos decimales</t>
        </r>
      </text>
    </comment>
    <comment ref="I8" authorId="0" shapeId="0" xr:uid="{00000000-0006-0000-0200-00000F000000}">
      <text>
        <r>
          <rPr>
            <sz val="11"/>
            <color theme="1"/>
            <rFont val="Calibri"/>
            <family val="2"/>
            <scheme val="minor"/>
          </rPr>
          <t>======
ID#AAABDq5Trgs
YULIED.PENARANDA    (2023-11-09 13:07:33)
Máximo dos decimales</t>
        </r>
      </text>
    </comment>
    <comment ref="J8" authorId="0" shapeId="0" xr:uid="{00000000-0006-0000-0200-000010000000}">
      <text>
        <r>
          <rPr>
            <sz val="11"/>
            <color theme="1"/>
            <rFont val="Calibri"/>
            <family val="2"/>
            <scheme val="minor"/>
          </rPr>
          <t>======
ID#AAABDq5TqzA
YULIED.PENARANDA    (2023-11-09 13:07:33)
Máximo dos decimales</t>
        </r>
      </text>
    </comment>
    <comment ref="K8" authorId="0" shapeId="0" xr:uid="{00000000-0006-0000-0200-000011000000}">
      <text>
        <r>
          <rPr>
            <sz val="11"/>
            <color theme="1"/>
            <rFont val="Calibri"/>
            <family val="2"/>
            <scheme val="minor"/>
          </rPr>
          <t>======
ID#AAABDq5TrnI
YULIED.PENARANDA    (2023-11-09 13:07:33)
Máximo dos decimales</t>
        </r>
      </text>
    </comment>
    <comment ref="L8" authorId="0" shapeId="0" xr:uid="{00000000-0006-0000-0200-000012000000}">
      <text>
        <r>
          <rPr>
            <sz val="11"/>
            <color theme="1"/>
            <rFont val="Calibri"/>
            <family val="2"/>
            <scheme val="minor"/>
          </rPr>
          <t>======
ID#AAABDq5Trwg
YULIED.PENARANDA    (2023-11-09 13:07:34)
Máximo dos decimales</t>
        </r>
      </text>
    </comment>
    <comment ref="M8" authorId="0" shapeId="0" xr:uid="{00000000-0006-0000-0200-000013000000}">
      <text>
        <r>
          <rPr>
            <sz val="11"/>
            <color theme="1"/>
            <rFont val="Calibri"/>
            <family val="2"/>
            <scheme val="minor"/>
          </rPr>
          <t>======
ID#AAABDq5TrZo
YULIED.PENARANDA    (2023-11-09 13:07:33)
Máximo dos decimales</t>
        </r>
      </text>
    </comment>
    <comment ref="N8" authorId="0" shapeId="0" xr:uid="{00000000-0006-0000-0200-000014000000}">
      <text>
        <r>
          <rPr>
            <sz val="11"/>
            <color theme="1"/>
            <rFont val="Calibri"/>
            <family val="2"/>
            <scheme val="minor"/>
          </rPr>
          <t>======
ID#AAABDq5TryM
YULIED.PENARANDA    (2023-11-09 13:07:34)
Máximo dos decimales</t>
        </r>
      </text>
    </comment>
    <comment ref="O8" authorId="0" shapeId="0" xr:uid="{00000000-0006-0000-0200-000015000000}">
      <text>
        <r>
          <rPr>
            <sz val="11"/>
            <color theme="1"/>
            <rFont val="Calibri"/>
            <family val="2"/>
            <scheme val="minor"/>
          </rPr>
          <t>======
ID#AAABDq5Trls
YULIED.PENARANDA    (2023-11-09 13:07:34)
Máximo dos decimales</t>
        </r>
      </text>
    </comment>
    <comment ref="P8" authorId="0" shapeId="0" xr:uid="{00000000-0006-0000-0200-000016000000}">
      <text>
        <r>
          <rPr>
            <sz val="11"/>
            <color theme="1"/>
            <rFont val="Calibri"/>
            <family val="2"/>
            <scheme val="minor"/>
          </rPr>
          <t>======
ID#AAABDq5TrzU
YULIED.PENARANDA    (2023-11-09 13:07:34)
Máximo dos decimales</t>
        </r>
      </text>
    </comment>
    <comment ref="Q8" authorId="0" shapeId="0" xr:uid="{00000000-0006-0000-0200-000017000000}">
      <text>
        <r>
          <rPr>
            <sz val="11"/>
            <color theme="1"/>
            <rFont val="Calibri"/>
            <family val="2"/>
            <scheme val="minor"/>
          </rPr>
          <t>======
ID#AAABDq5Trdc
YULIED.PENARANDA    (2023-11-09 13:07:33)
Máximo dos decimales</t>
        </r>
      </text>
    </comment>
    <comment ref="R8" authorId="0" shapeId="0" xr:uid="{00000000-0006-0000-0200-000018000000}">
      <text>
        <r>
          <rPr>
            <sz val="11"/>
            <color theme="1"/>
            <rFont val="Calibri"/>
            <family val="2"/>
            <scheme val="minor"/>
          </rPr>
          <t>======
ID#AAABDq5Tq7Y
YULIED.PENARANDA    (2023-11-09 13:07:34)
Máximo dos decimales</t>
        </r>
      </text>
    </comment>
    <comment ref="S8" authorId="0" shapeId="0" xr:uid="{00000000-0006-0000-0200-000019000000}">
      <text>
        <r>
          <rPr>
            <sz val="11"/>
            <color theme="1"/>
            <rFont val="Calibri"/>
            <family val="2"/>
            <scheme val="minor"/>
          </rPr>
          <t>======
ID#AAABDq5TrA4
YULIED.PENARANDA    (2023-11-09 13:07:33)
La programación y la ejecución de la actividad en los 12 meses, no puede ser superior a 100%.</t>
        </r>
      </text>
    </comment>
    <comment ref="T8" authorId="0" shapeId="0" xr:uid="{00000000-0006-0000-0200-00001A000000}">
      <text>
        <r>
          <rPr>
            <sz val="11"/>
            <color theme="1"/>
            <rFont val="Calibri"/>
            <family val="2"/>
            <scheme val="minor"/>
          </rPr>
          <t>======
ID#AAABDq5Tqv0
YULIED.PENARANDA    (2023-11-09 13:07:33)
Peso porcentual de cada meta, en función del proyecto de inversión</t>
        </r>
      </text>
    </comment>
    <comment ref="U8" authorId="0" shapeId="0" xr:uid="{00000000-0006-0000-0200-00001B000000}">
      <text>
        <r>
          <rPr>
            <sz val="11"/>
            <color theme="1"/>
            <rFont val="Calibri"/>
            <family val="2"/>
            <scheme val="minor"/>
          </rPr>
          <t>======
ID#AAABDq5TrSQ
YULIED.PENARANDA    (2023-11-09 13:07:33)
Peso porcentual de cada actividad, en función del proyecto de inversión</t>
        </r>
      </text>
    </comment>
  </commentList>
  <extLst>
    <ext xmlns:r="http://schemas.openxmlformats.org/officeDocument/2006/relationships" uri="GoogleSheetsCustomDataVersion2">
      <go:sheetsCustomData xmlns:go="http://customooxmlschemas.google.com/" r:id="rId1" roundtripDataSignature="AMtx7mjP/H1ErO4hlFcBoKcj1/r3jGyY8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D22" authorId="0" shapeId="0" xr:uid="{00000000-0006-0000-0300-000001000000}">
      <text>
        <r>
          <rPr>
            <sz val="11"/>
            <color theme="1"/>
            <rFont val="Calibri"/>
            <family val="2"/>
            <scheme val="minor"/>
          </rPr>
          <t>======
ID#AAABDq5TrBQ
YULIED.PENARANDA    (2023-11-09 13:07:34)
Magnitud física de la meta proyecto de inversión, a programar o a realizar seguimiento, según la columna en que se reporte.</t>
        </r>
      </text>
    </comment>
    <comment ref="D23" authorId="0" shapeId="0" xr:uid="{00000000-0006-0000-0300-000002000000}">
      <text>
        <r>
          <rPr>
            <sz val="11"/>
            <color theme="1"/>
            <rFont val="Calibri"/>
            <family val="2"/>
            <scheme val="minor"/>
          </rPr>
          <t>======
ID#AAABDq5TqwM
YULIED.PENARANDA    (2023-11-09 13:07:34)
Recursos presupuestales asignados para la vigencia en programación  y/o seguimiento, según la columna en que se reporte</t>
        </r>
      </text>
    </comment>
    <comment ref="D24" authorId="0" shapeId="0" xr:uid="{00000000-0006-0000-0300-000003000000}">
      <text>
        <r>
          <rPr>
            <sz val="11"/>
            <color theme="1"/>
            <rFont val="Calibri"/>
            <family val="2"/>
            <scheme val="minor"/>
          </rPr>
          <t>======
ID#AAABDq5Tq74
YULIED.PENARANDA    (2023-11-09 13:07:34)
Magnitud física asociada a la reservas,  aplica para las meta con tipología suma, las cuales se pueden desagregar por los compromisos contraídos que al cierre de la vigencia fiscal no  se cumplierón.</t>
        </r>
      </text>
    </comment>
    <comment ref="D25" authorId="0" shapeId="0" xr:uid="{00000000-0006-0000-0300-000004000000}">
      <text>
        <r>
          <rPr>
            <sz val="11"/>
            <color theme="1"/>
            <rFont val="Calibri"/>
            <family val="2"/>
            <scheme val="minor"/>
          </rPr>
          <t>======
ID#AAABDq5TrLs
YULIED.PENARANDA    (2023-11-09 13:07:34)
Son compromisos legalmente contraídos que al cierre de la vigencia fiscal no se han atendido por no haberse completado las formalidades necesarias que hagan exigible el pago al terminarse el año.</t>
        </r>
      </text>
    </comment>
    <comment ref="D26" authorId="0" shapeId="0" xr:uid="{00000000-0006-0000-0300-000005000000}">
      <text>
        <r>
          <rPr>
            <sz val="11"/>
            <color theme="1"/>
            <rFont val="Calibri"/>
            <family val="2"/>
            <scheme val="minor"/>
          </rPr>
          <t>======
ID#AAABDq5Tqpk
YULIED.PENARANDA    (2023-11-09 13:07:34)
Para las metas de tipología suma (vigencia *reservas). Para las demás tipos de metas se asocia el mismo dato de la vigencia.</t>
        </r>
      </text>
    </comment>
    <comment ref="D27" authorId="0" shapeId="0" xr:uid="{00000000-0006-0000-0300-000006000000}">
      <text>
        <r>
          <rPr>
            <sz val="11"/>
            <color theme="1"/>
            <rFont val="Calibri"/>
            <family val="2"/>
            <scheme val="minor"/>
          </rPr>
          <t>======
ID#AAABDq5TrbA
YULIED.PENARANDA    (2023-11-09 13:07:34)
Se suma los recursos presupuestales (vigencia + reservas)</t>
        </r>
      </text>
    </comment>
    <comment ref="D28" authorId="0" shapeId="0" xr:uid="{00000000-0006-0000-0300-000007000000}">
      <text>
        <r>
          <rPr>
            <sz val="11"/>
            <color theme="1"/>
            <rFont val="Calibri"/>
            <family val="2"/>
            <scheme val="minor"/>
          </rPr>
          <t>======
ID#AAABDq5TrtA
YULIED.PENARANDA    (2023-11-09 13:07:33)
Magnitud física de la meta proyecto de inversión, a programar o a realizar seguimiento, según la columna en que se reporte.</t>
        </r>
      </text>
    </comment>
    <comment ref="D29" authorId="0" shapeId="0" xr:uid="{00000000-0006-0000-0300-000008000000}">
      <text>
        <r>
          <rPr>
            <sz val="11"/>
            <color theme="1"/>
            <rFont val="Calibri"/>
            <family val="2"/>
            <scheme val="minor"/>
          </rPr>
          <t>======
ID#AAABDq5Tq0s
YULIED.PENARANDA    (2023-11-09 13:07:33)
Recursos presupuestales asignados para la vigencia en programación  y/o seguimiento, según la columna en que se reporte</t>
        </r>
      </text>
    </comment>
    <comment ref="D30" authorId="0" shapeId="0" xr:uid="{00000000-0006-0000-0300-000009000000}">
      <text>
        <r>
          <rPr>
            <sz val="11"/>
            <color theme="1"/>
            <rFont val="Calibri"/>
            <family val="2"/>
            <scheme val="minor"/>
          </rPr>
          <t>======
ID#AAABDq5TrqI
YULIED.PENARANDA    (2023-11-09 13:07:33)
Magnitud física asociada a la reservas,  aplica para las meta con tipología suma, las cuales se pueden desagregar por los compromisos contraídos que al cierre de la vigencia fiscal no  se cumplierón.</t>
        </r>
      </text>
    </comment>
    <comment ref="D31" authorId="0" shapeId="0" xr:uid="{00000000-0006-0000-0300-00000A000000}">
      <text>
        <r>
          <rPr>
            <sz val="11"/>
            <color theme="1"/>
            <rFont val="Calibri"/>
            <family val="2"/>
            <scheme val="minor"/>
          </rPr>
          <t>======
ID#AAABDq5TrIY
YULIED.PENARANDA    (2023-11-09 13:07:34)
Son compromisos legalmente contraídos que al cierre de la vigencia fiscal no se han atendido por no haberse completado las formalidades necesarias que hagan exigible el pago al terminarse el año.</t>
        </r>
      </text>
    </comment>
    <comment ref="D32" authorId="0" shapeId="0" xr:uid="{00000000-0006-0000-0300-00000B000000}">
      <text>
        <r>
          <rPr>
            <sz val="11"/>
            <color theme="1"/>
            <rFont val="Calibri"/>
            <family val="2"/>
            <scheme val="minor"/>
          </rPr>
          <t>======
ID#AAABDq5Truw
YULIED.PENARANDA    (2023-11-09 13:07:34)
Para las metas de tipología suma (vigencia *reservas). Para las demás tipos de metas se asocia el mismo dato de la vigencia.</t>
        </r>
      </text>
    </comment>
    <comment ref="D33" authorId="0" shapeId="0" xr:uid="{00000000-0006-0000-0300-00000C000000}">
      <text>
        <r>
          <rPr>
            <sz val="11"/>
            <color theme="1"/>
            <rFont val="Calibri"/>
            <family val="2"/>
            <scheme val="minor"/>
          </rPr>
          <t>======
ID#AAABDq5TrtY
YULIED.PENARANDA    (2023-11-09 13:07:33)
Se suma los recursos presupuestales (vigencia + reservas)</t>
        </r>
      </text>
    </comment>
    <comment ref="D256" authorId="0" shapeId="0" xr:uid="{00000000-0006-0000-0300-00000D000000}">
      <text>
        <r>
          <rPr>
            <sz val="11"/>
            <color theme="1"/>
            <rFont val="Calibri"/>
            <family val="2"/>
            <scheme val="minor"/>
          </rPr>
          <t>======
ID#AAABDq5Trk0
YULIED.PENARANDA    (2023-11-09 13:07:33)
Magnitud física de la meta proyecto de inversión, a programar o a realizar seguimiento, según la columna en que se reporte.</t>
        </r>
      </text>
    </comment>
    <comment ref="D257" authorId="0" shapeId="0" xr:uid="{00000000-0006-0000-0300-00000E000000}">
      <text>
        <r>
          <rPr>
            <sz val="11"/>
            <color theme="1"/>
            <rFont val="Calibri"/>
            <family val="2"/>
            <scheme val="minor"/>
          </rPr>
          <t>======
ID#AAABDq5TrTo
YULIED.PENARANDA    (2023-11-09 13:07:34)
Recursos presupuestales asignados para la vigencia en programación  y/o seguimiento, según la columna en que se reporte</t>
        </r>
      </text>
    </comment>
    <comment ref="D258" authorId="0" shapeId="0" xr:uid="{00000000-0006-0000-0300-00000F000000}">
      <text>
        <r>
          <rPr>
            <sz val="11"/>
            <color theme="1"/>
            <rFont val="Calibri"/>
            <family val="2"/>
            <scheme val="minor"/>
          </rPr>
          <t>======
ID#AAABDq5TrIM
YULIED.PENARANDA    (2023-11-09 13:07:33)
Magnitud física asociada a la reservas,  aplica para las meta con tipología suma, las cuales se pueden desagregar por los compromisos contraídos que al cierre de la vigencia fiscal no  se cumplierón.</t>
        </r>
      </text>
    </comment>
    <comment ref="D259" authorId="0" shapeId="0" xr:uid="{00000000-0006-0000-0300-000010000000}">
      <text>
        <r>
          <rPr>
            <sz val="11"/>
            <color theme="1"/>
            <rFont val="Calibri"/>
            <family val="2"/>
            <scheme val="minor"/>
          </rPr>
          <t>======
ID#AAABDq5Tqvk
YULIED.PENARANDA    (2023-11-09 13:07:33)
Son compromisos legalmente contraídos que al cierre de la vigencia fiscal no se han atendido por no haberse completado las formalidades necesarias que hagan exigible el pago al terminarse el año.</t>
        </r>
      </text>
    </comment>
    <comment ref="D260" authorId="0" shapeId="0" xr:uid="{00000000-0006-0000-0300-000011000000}">
      <text>
        <r>
          <rPr>
            <sz val="11"/>
            <color theme="1"/>
            <rFont val="Calibri"/>
            <family val="2"/>
            <scheme val="minor"/>
          </rPr>
          <t>======
ID#AAABDq5TrLM
YULIED.PENARANDA    (2023-11-09 13:07:34)
Para las metas de tipología suma (vigencia *reservas). Para las demás tipos de metas se asocia el mismo dato de la vigencia.</t>
        </r>
      </text>
    </comment>
    <comment ref="D261" authorId="0" shapeId="0" xr:uid="{00000000-0006-0000-0300-000012000000}">
      <text>
        <r>
          <rPr>
            <sz val="11"/>
            <color theme="1"/>
            <rFont val="Calibri"/>
            <family val="2"/>
            <scheme val="minor"/>
          </rPr>
          <t>======
ID#AAABDq5TrOU
YULIED.PENARANDA    (2023-11-09 13:07:34)
Se suma los recursos presupuestales (vigencia + reservas)</t>
        </r>
      </text>
    </comment>
    <comment ref="D262" authorId="0" shapeId="0" xr:uid="{00000000-0006-0000-0300-000013000000}">
      <text>
        <r>
          <rPr>
            <sz val="11"/>
            <color theme="1"/>
            <rFont val="Calibri"/>
            <family val="2"/>
            <scheme val="minor"/>
          </rPr>
          <t>======
ID#AAABDq5TrN4
YULIED.PENARANDA    (2023-11-09 13:07:33)
Magnitud física de la meta proyecto de inversión, a programar o a realizar seguimiento, según la columna en que se reporte.</t>
        </r>
      </text>
    </comment>
    <comment ref="D263" authorId="0" shapeId="0" xr:uid="{00000000-0006-0000-0300-000014000000}">
      <text>
        <r>
          <rPr>
            <sz val="11"/>
            <color theme="1"/>
            <rFont val="Calibri"/>
            <family val="2"/>
            <scheme val="minor"/>
          </rPr>
          <t>======
ID#AAABDq5TryU
YULIED.PENARANDA    (2023-11-09 13:07:34)
Recursos presupuestales asignados para la vigencia en programación  y/o seguimiento, según la columna en que se reporte</t>
        </r>
      </text>
    </comment>
    <comment ref="D264" authorId="0" shapeId="0" xr:uid="{00000000-0006-0000-0300-000015000000}">
      <text>
        <r>
          <rPr>
            <sz val="11"/>
            <color theme="1"/>
            <rFont val="Calibri"/>
            <family val="2"/>
            <scheme val="minor"/>
          </rPr>
          <t>======
ID#AAABDq5Tq5A
YULIED.PENARANDA    (2023-11-09 13:07:34)
Magnitud física asociada a la reservas,  aplica para las meta con tipología suma, las cuales se pueden desagregar por los compromisos contraídos que al cierre de la vigencia fiscal no  se cumplierón.</t>
        </r>
      </text>
    </comment>
    <comment ref="D265" authorId="0" shapeId="0" xr:uid="{00000000-0006-0000-0300-000016000000}">
      <text>
        <r>
          <rPr>
            <sz val="11"/>
            <color theme="1"/>
            <rFont val="Calibri"/>
            <family val="2"/>
            <scheme val="minor"/>
          </rPr>
          <t>======
ID#AAABDq5TrT0
YULIED.PENARANDA    (2023-11-09 13:07:34)
Son compromisos legalmente contraídos que al cierre de la vigencia fiscal no se han atendido por no haberse completado las formalidades necesarias que hagan exigible el pago al terminarse el año.</t>
        </r>
      </text>
    </comment>
    <comment ref="D266" authorId="0" shapeId="0" xr:uid="{00000000-0006-0000-0300-000017000000}">
      <text>
        <r>
          <rPr>
            <sz val="11"/>
            <color theme="1"/>
            <rFont val="Calibri"/>
            <family val="2"/>
            <scheme val="minor"/>
          </rPr>
          <t>======
ID#AAABDq5TruM
YULIED.PENARANDA    (2023-11-09 13:07:33)
Para las metas de tipología suma (vigencia *reservas). Para las demás tipos de metas se asocia el mismo dato de la vigencia.</t>
        </r>
      </text>
    </comment>
    <comment ref="D267" authorId="0" shapeId="0" xr:uid="{00000000-0006-0000-0300-000018000000}">
      <text>
        <r>
          <rPr>
            <sz val="11"/>
            <color theme="1"/>
            <rFont val="Calibri"/>
            <family val="2"/>
            <scheme val="minor"/>
          </rPr>
          <t>======
ID#AAABDq5TrLc
YULIED.PENARANDA    (2023-11-09 13:07:34)
Se suma los recursos presupuestales (vigencia + reservas)</t>
        </r>
      </text>
    </comment>
    <comment ref="D268" authorId="0" shapeId="0" xr:uid="{00000000-0006-0000-0300-000019000000}">
      <text>
        <r>
          <rPr>
            <sz val="11"/>
            <color theme="1"/>
            <rFont val="Calibri"/>
            <family val="2"/>
            <scheme val="minor"/>
          </rPr>
          <t>======
ID#AAABDq5TrZM
YULIED.PENARANDA    (2023-11-09 13:07:33)
Magnitud física de la meta proyecto de inversión, a programar o a realizar seguimiento, según la columna en que se reporte.</t>
        </r>
      </text>
    </comment>
    <comment ref="D269" authorId="0" shapeId="0" xr:uid="{00000000-0006-0000-0300-00001A000000}">
      <text>
        <r>
          <rPr>
            <sz val="11"/>
            <color theme="1"/>
            <rFont val="Calibri"/>
            <family val="2"/>
            <scheme val="minor"/>
          </rPr>
          <t>======
ID#AAABDq5Trow
YULIED.PENARANDA    (2023-11-09 13:07:34)
Recursos presupuestales asignados para la vigencia en programación  y/o seguimiento, según la columna en que se reporte</t>
        </r>
      </text>
    </comment>
    <comment ref="D270" authorId="0" shapeId="0" xr:uid="{00000000-0006-0000-0300-00001B000000}">
      <text>
        <r>
          <rPr>
            <sz val="11"/>
            <color theme="1"/>
            <rFont val="Calibri"/>
            <family val="2"/>
            <scheme val="minor"/>
          </rPr>
          <t>======
ID#AAABDq5Tqpo
YULIED.PENARANDA    (2023-11-09 13:07:34)
Magnitud física asociada a la reservas,  aplica para las meta con tipología suma, las cuales se pueden desagregar por los compromisos contraídos que al cierre de la vigencia fiscal no  se cumplierón.</t>
        </r>
      </text>
    </comment>
    <comment ref="D271" authorId="0" shapeId="0" xr:uid="{00000000-0006-0000-0300-00001C000000}">
      <text>
        <r>
          <rPr>
            <sz val="11"/>
            <color theme="1"/>
            <rFont val="Calibri"/>
            <family val="2"/>
            <scheme val="minor"/>
          </rPr>
          <t>======
ID#AAABDq5Trro
YULIED.PENARANDA    (2023-11-09 13:07:33)
Son compromisos legalmente contraídos que al cierre de la vigencia fiscal no se han atendido por no haberse completado las formalidades necesarias que hagan exigible el pago al terminarse el año.</t>
        </r>
      </text>
    </comment>
    <comment ref="D272" authorId="0" shapeId="0" xr:uid="{00000000-0006-0000-0300-00001D000000}">
      <text>
        <r>
          <rPr>
            <sz val="11"/>
            <color theme="1"/>
            <rFont val="Calibri"/>
            <family val="2"/>
            <scheme val="minor"/>
          </rPr>
          <t>======
ID#AAABDq5Tq8g
YULIED.PENARANDA    (2023-11-09 13:07:34)
Para las metas de tipología suma (vigencia *reservas). Para las demás tipos de metas se asocia el mismo dato de la vigencia.</t>
        </r>
      </text>
    </comment>
    <comment ref="D273" authorId="0" shapeId="0" xr:uid="{00000000-0006-0000-0300-00001E000000}">
      <text>
        <r>
          <rPr>
            <sz val="11"/>
            <color theme="1"/>
            <rFont val="Calibri"/>
            <family val="2"/>
            <scheme val="minor"/>
          </rPr>
          <t>======
ID#AAABDq5Trxs
YULIED.PENARANDA    (2023-11-09 13:07:33)
Se suma los recursos presupuestales (vigencia + reservas)</t>
        </r>
      </text>
    </comment>
    <comment ref="D304" authorId="0" shapeId="0" xr:uid="{00000000-0006-0000-0300-00001F000000}">
      <text>
        <r>
          <rPr>
            <sz val="11"/>
            <color theme="1"/>
            <rFont val="Calibri"/>
            <family val="2"/>
            <scheme val="minor"/>
          </rPr>
          <t>======
ID#AAABDq5TrMA
YULIED.PENARANDA    (2023-11-09 13:07:34)
Magnitud física de la meta proyecto de inversión, a programar o a realizar seguimiento, según la columna en que se reporte.</t>
        </r>
      </text>
    </comment>
    <comment ref="D305" authorId="0" shapeId="0" xr:uid="{00000000-0006-0000-0300-000020000000}">
      <text>
        <r>
          <rPr>
            <sz val="11"/>
            <color theme="1"/>
            <rFont val="Calibri"/>
            <family val="2"/>
            <scheme val="minor"/>
          </rPr>
          <t>======
ID#AAABDq5TqxQ
YULIED.PENARANDA    (2023-11-09 13:07:34)
Recursos presupuestales asignados para la vigencia en programación  y/o seguimiento, según la columna en que se reporte</t>
        </r>
      </text>
    </comment>
    <comment ref="D306" authorId="0" shapeId="0" xr:uid="{00000000-0006-0000-0300-000021000000}">
      <text>
        <r>
          <rPr>
            <sz val="11"/>
            <color theme="1"/>
            <rFont val="Calibri"/>
            <family val="2"/>
            <scheme val="minor"/>
          </rPr>
          <t>======
ID#AAABDq5Tq9s
YULIED.PENARANDA    (2023-11-09 13:07:34)
Magnitud física asociada a la reservas,  aplica para las meta con tipología suma, las cuales se pueden desagregar por los compromisos contraídos que al cierre de la vigencia fiscal no  se cumplierón.</t>
        </r>
      </text>
    </comment>
    <comment ref="D307" authorId="0" shapeId="0" xr:uid="{00000000-0006-0000-0300-000022000000}">
      <text>
        <r>
          <rPr>
            <sz val="11"/>
            <color theme="1"/>
            <rFont val="Calibri"/>
            <family val="2"/>
            <scheme val="minor"/>
          </rPr>
          <t>======
ID#AAABDq5TrVE
YULIED.PENARANDA    (2023-11-09 13:07:34)
Son compromisos legalmente contraídos que al cierre de la vigencia fiscal no se han atendido por no haberse completado las formalidades necesarias que hagan exigible el pago al terminarse el año.</t>
        </r>
      </text>
    </comment>
    <comment ref="D308" authorId="0" shapeId="0" xr:uid="{00000000-0006-0000-0300-000023000000}">
      <text>
        <r>
          <rPr>
            <sz val="11"/>
            <color theme="1"/>
            <rFont val="Calibri"/>
            <family val="2"/>
            <scheme val="minor"/>
          </rPr>
          <t>======
ID#AAABDq5Trl4
YULIED.PENARANDA    (2023-11-09 13:07:33)
Para las metas de tipología suma (vigencia *reservas). Para las demás tipos de metas se asocia el mismo dato de la vigencia.</t>
        </r>
      </text>
    </comment>
    <comment ref="D309" authorId="0" shapeId="0" xr:uid="{00000000-0006-0000-0300-000024000000}">
      <text>
        <r>
          <rPr>
            <sz val="11"/>
            <color theme="1"/>
            <rFont val="Calibri"/>
            <family val="2"/>
            <scheme val="minor"/>
          </rPr>
          <t>======
ID#AAABDq5TrS8
YULIED.PENARANDA    (2023-11-09 13:07:34)
Se suma los recursos presupuestales (vigencia + reservas)</t>
        </r>
      </text>
    </comment>
    <comment ref="D310" authorId="0" shapeId="0" xr:uid="{00000000-0006-0000-0300-000025000000}">
      <text>
        <r>
          <rPr>
            <sz val="11"/>
            <color theme="1"/>
            <rFont val="Calibri"/>
            <family val="2"/>
            <scheme val="minor"/>
          </rPr>
          <t>======
ID#AAABDq5TrkQ
YULIED.PENARANDA    (2023-11-09 13:07:34)
Magnitud física de la meta proyecto de inversión, a programar o a realizar seguimiento, según la columna en que se reporte.</t>
        </r>
      </text>
    </comment>
    <comment ref="D311" authorId="0" shapeId="0" xr:uid="{00000000-0006-0000-0300-000026000000}">
      <text>
        <r>
          <rPr>
            <sz val="11"/>
            <color theme="1"/>
            <rFont val="Calibri"/>
            <family val="2"/>
            <scheme val="minor"/>
          </rPr>
          <t>======
ID#AAABDq5TqxU
YULIED.PENARANDA    (2023-11-09 13:07:34)
Recursos presupuestales asignados para la vigencia en programación  y/o seguimiento, según la columna en que se reporte</t>
        </r>
      </text>
    </comment>
    <comment ref="D312" authorId="0" shapeId="0" xr:uid="{00000000-0006-0000-0300-000027000000}">
      <text>
        <r>
          <rPr>
            <sz val="11"/>
            <color theme="1"/>
            <rFont val="Calibri"/>
            <family val="2"/>
            <scheme val="minor"/>
          </rPr>
          <t>======
ID#AAABDq5TrDI
YULIED.PENARANDA    (2023-11-09 13:07:34)
Magnitud física asociada a la reservas,  aplica para las meta con tipología suma, las cuales se pueden desagregar por los compromisos contraídos que al cierre de la vigencia fiscal no  se cumplierón.</t>
        </r>
      </text>
    </comment>
    <comment ref="D313" authorId="0" shapeId="0" xr:uid="{00000000-0006-0000-0300-000028000000}">
      <text>
        <r>
          <rPr>
            <sz val="11"/>
            <color theme="1"/>
            <rFont val="Calibri"/>
            <family val="2"/>
            <scheme val="minor"/>
          </rPr>
          <t>======
ID#AAABDq5TrHM
YULIED.PENARANDA    (2023-11-09 13:07:34)
Son compromisos legalmente contraídos que al cierre de la vigencia fiscal no se han atendido por no haberse completado las formalidades necesarias que hagan exigible el pago al terminarse el año.</t>
        </r>
      </text>
    </comment>
    <comment ref="D314" authorId="0" shapeId="0" xr:uid="{00000000-0006-0000-0300-000029000000}">
      <text>
        <r>
          <rPr>
            <sz val="11"/>
            <color theme="1"/>
            <rFont val="Calibri"/>
            <family val="2"/>
            <scheme val="minor"/>
          </rPr>
          <t>======
ID#AAABDq5TrNU
YULIED.PENARANDA    (2023-11-09 13:07:33)
Para las metas de tipología suma (vigencia *reservas). Para las demás tipos de metas se asocia el mismo dato de la vigencia.</t>
        </r>
      </text>
    </comment>
    <comment ref="D315" authorId="0" shapeId="0" xr:uid="{00000000-0006-0000-0300-00002A000000}">
      <text>
        <r>
          <rPr>
            <sz val="11"/>
            <color theme="1"/>
            <rFont val="Calibri"/>
            <family val="2"/>
            <scheme val="minor"/>
          </rPr>
          <t>======
ID#AAABDq5TrjM
YULIED.PENARANDA    (2023-11-09 13:07:34)
Se suma los recursos presupuestales (vigencia + reservas)</t>
        </r>
      </text>
    </comment>
    <comment ref="D322" authorId="0" shapeId="0" xr:uid="{00000000-0006-0000-0300-00002B000000}">
      <text>
        <r>
          <rPr>
            <sz val="11"/>
            <color theme="1"/>
            <rFont val="Calibri"/>
            <family val="2"/>
            <scheme val="minor"/>
          </rPr>
          <t>======
ID#AAABDq5TrGg
YULIED.PENARANDA    (2023-11-09 13:07:33)
Magnitud física de la meta proyecto de inversión, a programar o a realizar seguimiento, según la columna en que se reporte.</t>
        </r>
      </text>
    </comment>
    <comment ref="D323" authorId="0" shapeId="0" xr:uid="{00000000-0006-0000-0300-00002C000000}">
      <text>
        <r>
          <rPr>
            <sz val="11"/>
            <color theme="1"/>
            <rFont val="Calibri"/>
            <family val="2"/>
            <scheme val="minor"/>
          </rPr>
          <t>======
ID#AAABDq5Tq5M
YULIED.PENARANDA    (2023-11-09 13:07:33)
Recursos presupuestales asignados para la vigencia en programación  y/o seguimiento, según la columna en que se reporte</t>
        </r>
      </text>
    </comment>
    <comment ref="D324" authorId="0" shapeId="0" xr:uid="{00000000-0006-0000-0300-00002D000000}">
      <text>
        <r>
          <rPr>
            <sz val="11"/>
            <color theme="1"/>
            <rFont val="Calibri"/>
            <family val="2"/>
            <scheme val="minor"/>
          </rPr>
          <t>======
ID#AAABDq5TrOw
YULIED.PENARANDA    (2023-11-09 13:07:34)
Magnitud física asociada a la reservas,  aplica para las meta con tipología suma, las cuales se pueden desagregar por los compromisos contraídos que al cierre de la vigencia fiscal no  se cumplierón.</t>
        </r>
      </text>
    </comment>
    <comment ref="D325" authorId="0" shapeId="0" xr:uid="{00000000-0006-0000-0300-00002E000000}">
      <text>
        <r>
          <rPr>
            <sz val="11"/>
            <color theme="1"/>
            <rFont val="Calibri"/>
            <family val="2"/>
            <scheme val="minor"/>
          </rPr>
          <t>======
ID#AAABDq5Try4
YULIED.PENARANDA    (2023-11-09 13:07:34)
Son compromisos legalmente contraídos que al cierre de la vigencia fiscal no se han atendido por no haberse completado las formalidades necesarias que hagan exigible el pago al terminarse el año.</t>
        </r>
      </text>
    </comment>
    <comment ref="D326" authorId="0" shapeId="0" xr:uid="{00000000-0006-0000-0300-00002F000000}">
      <text>
        <r>
          <rPr>
            <sz val="11"/>
            <color theme="1"/>
            <rFont val="Calibri"/>
            <family val="2"/>
            <scheme val="minor"/>
          </rPr>
          <t>======
ID#AAABDq5Tq1Y
YULIED.PENARANDA    (2023-11-09 13:07:34)
Para las metas de tipología suma (vigencia *reservas). Para las demás tipos de metas se asocia el mismo dato de la vigencia.</t>
        </r>
      </text>
    </comment>
    <comment ref="D327" authorId="0" shapeId="0" xr:uid="{00000000-0006-0000-0300-000030000000}">
      <text>
        <r>
          <rPr>
            <sz val="11"/>
            <color theme="1"/>
            <rFont val="Calibri"/>
            <family val="2"/>
            <scheme val="minor"/>
          </rPr>
          <t>======
ID#AAABDq5TrCM
YULIED.PENARANDA    (2023-11-09 13:07:34)
Se suma los recursos presupuestales (vigencia + reservas)</t>
        </r>
      </text>
    </comment>
    <comment ref="D328" authorId="0" shapeId="0" xr:uid="{00000000-0006-0000-0300-000031000000}">
      <text>
        <r>
          <rPr>
            <sz val="11"/>
            <color theme="1"/>
            <rFont val="Calibri"/>
            <family val="2"/>
            <scheme val="minor"/>
          </rPr>
          <t>======
ID#AAABDq5Tq0M
YULIED.PENARANDA    (2023-11-09 13:07:34)
Magnitud física de la meta proyecto de inversión, a programar o a realizar seguimiento, según la columna en que se reporte.</t>
        </r>
      </text>
    </comment>
    <comment ref="D329" authorId="0" shapeId="0" xr:uid="{00000000-0006-0000-0300-000032000000}">
      <text>
        <r>
          <rPr>
            <sz val="11"/>
            <color theme="1"/>
            <rFont val="Calibri"/>
            <family val="2"/>
            <scheme val="minor"/>
          </rPr>
          <t>======
ID#AAABDq5TrkY
YULIED.PENARANDA    (2023-11-09 13:07:34)
Recursos presupuestales asignados para la vigencia en programación  y/o seguimiento, según la columna en que se reporte</t>
        </r>
      </text>
    </comment>
    <comment ref="D330" authorId="0" shapeId="0" xr:uid="{00000000-0006-0000-0300-000033000000}">
      <text>
        <r>
          <rPr>
            <sz val="11"/>
            <color theme="1"/>
            <rFont val="Calibri"/>
            <family val="2"/>
            <scheme val="minor"/>
          </rPr>
          <t>======
ID#AAABDq5Tqww
YULIED.PENARANDA    (2023-11-09 13:07:34)
Magnitud física asociada a la reservas,  aplica para las meta con tipología suma, las cuales se pueden desagregar por los compromisos contraídos que al cierre de la vigencia fiscal no  se cumplierón.</t>
        </r>
      </text>
    </comment>
    <comment ref="D331" authorId="0" shapeId="0" xr:uid="{00000000-0006-0000-0300-000034000000}">
      <text>
        <r>
          <rPr>
            <sz val="11"/>
            <color theme="1"/>
            <rFont val="Calibri"/>
            <family val="2"/>
            <scheme val="minor"/>
          </rPr>
          <t>======
ID#AAABDq5Trvw
YULIED.PENARANDA    (2023-11-09 13:07:33)
Son compromisos legalmente contraídos que al cierre de la vigencia fiscal no se han atendido por no haberse completado las formalidades necesarias que hagan exigible el pago al terminarse el año.</t>
        </r>
      </text>
    </comment>
    <comment ref="D332" authorId="0" shapeId="0" xr:uid="{00000000-0006-0000-0300-000035000000}">
      <text>
        <r>
          <rPr>
            <sz val="11"/>
            <color theme="1"/>
            <rFont val="Calibri"/>
            <family val="2"/>
            <scheme val="minor"/>
          </rPr>
          <t>======
ID#AAABDq5TrwY
YULIED.PENARANDA    (2023-11-09 13:07:34)
Para las metas de tipología suma (vigencia *reservas). Para las demás tipos de metas se asocia el mismo dato de la vigencia.</t>
        </r>
      </text>
    </comment>
    <comment ref="D333" authorId="0" shapeId="0" xr:uid="{00000000-0006-0000-0300-000036000000}">
      <text>
        <r>
          <rPr>
            <sz val="11"/>
            <color theme="1"/>
            <rFont val="Calibri"/>
            <family val="2"/>
            <scheme val="minor"/>
          </rPr>
          <t>======
ID#AAABDq5TraE
YULIED.PENARANDA    (2023-11-09 13:07:34)
Se suma los recursos presupuestales (vigencia + reservas)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400-000001000000}">
      <text>
        <r>
          <rPr>
            <sz val="11"/>
            <color theme="1"/>
            <rFont val="Calibri"/>
            <family val="2"/>
            <scheme val="minor"/>
          </rPr>
          <t>======
ID#AAABDq5Trx8
YULIED.PENARANDA    (2023-11-09 13:07:33)
Describir el nombre completo de la oficina, dirección o subdirección que gerencia el proyecto de inversión.</t>
        </r>
      </text>
    </comment>
    <comment ref="A5" authorId="0" shapeId="0" xr:uid="{00000000-0006-0000-0400-000002000000}">
      <text>
        <r>
          <rPr>
            <sz val="11"/>
            <color theme="1"/>
            <rFont val="Calibri"/>
            <family val="2"/>
            <scheme val="minor"/>
          </rPr>
          <t>======
ID#AAABDq5TrkA
YULIED.PENARANDA    (2023-11-09 13:07:34)
Describir el número y nombre completo del proyecto de inversión.</t>
        </r>
      </text>
    </comment>
    <comment ref="A7" authorId="0" shapeId="0" xr:uid="{00000000-0006-0000-0400-000003000000}">
      <text>
        <r>
          <rPr>
            <sz val="11"/>
            <color theme="1"/>
            <rFont val="Calibri"/>
            <family val="2"/>
            <scheme val="minor"/>
          </rPr>
          <t>======
ID#AAABDq5TrzQ
YULIED.PENARANDA    (2023-11-09 13:07:33)
Corresponde a la información en firme de cada vigencia fiscal.</t>
        </r>
      </text>
    </comment>
    <comment ref="A8" authorId="0" shapeId="0" xr:uid="{00000000-0006-0000-0400-000004000000}">
      <text>
        <r>
          <rPr>
            <sz val="11"/>
            <color theme="1"/>
            <rFont val="Calibri"/>
            <family val="2"/>
            <scheme val="minor"/>
          </rPr>
          <t>======
ID#AAABDq5Trkk
YULIED.PENARANDA    (2023-11-09 13:07:34)
Vigencia a reportar</t>
        </r>
      </text>
    </comment>
    <comment ref="C8" authorId="0" shapeId="0" xr:uid="{00000000-0006-0000-0400-000005000000}">
      <text>
        <r>
          <rPr>
            <sz val="11"/>
            <color theme="1"/>
            <rFont val="Calibri"/>
            <family val="2"/>
            <scheme val="minor"/>
          </rPr>
          <t>======
ID#AAABDq5TrYM
YULIED.PENARANDA    (2023-11-09 13:07:34)
Apropiación inicial acorde con la herramienta oficial de la SDH</t>
        </r>
      </text>
    </comment>
    <comment ref="D8" authorId="0" shapeId="0" xr:uid="{00000000-0006-0000-0400-000006000000}">
      <text>
        <r>
          <rPr>
            <sz val="11"/>
            <color theme="1"/>
            <rFont val="Calibri"/>
            <family val="2"/>
            <scheme val="minor"/>
          </rPr>
          <t>======
ID#AAABDq5Trqw
YULIED.PENARANDA    (2023-11-09 13:07:34)
Apropiación inicial + 0 - movimientos positivos y/o negativos, con este valor se proyecta los compromisos</t>
        </r>
      </text>
    </comment>
    <comment ref="E8" authorId="0" shapeId="0" xr:uid="{00000000-0006-0000-0400-000007000000}">
      <text>
        <r>
          <rPr>
            <sz val="11"/>
            <color theme="1"/>
            <rFont val="Calibri"/>
            <family val="2"/>
            <scheme val="minor"/>
          </rPr>
          <t>======
ID#AAABDq5Trfg
YULIED.PENARANDA    (2023-11-09 13:07:34)
Valores contenidos en los Registros Presupuestales de Compromisos</t>
        </r>
      </text>
    </comment>
    <comment ref="F8" authorId="0" shapeId="0" xr:uid="{00000000-0006-0000-0400-000008000000}">
      <text>
        <r>
          <rPr>
            <sz val="11"/>
            <color theme="1"/>
            <rFont val="Calibri"/>
            <family val="2"/>
            <scheme val="minor"/>
          </rPr>
          <t>======
ID#AAABDq5TrBY
YULIED.PENARANDA    (2023-11-09 13:07:34)
Corresponde al pago</t>
        </r>
      </text>
    </comment>
    <comment ref="G8" authorId="0" shapeId="0" xr:uid="{00000000-0006-0000-0400-000009000000}">
      <text>
        <r>
          <rPr>
            <sz val="11"/>
            <color theme="1"/>
            <rFont val="Calibri"/>
            <family val="2"/>
            <scheme val="minor"/>
          </rPr>
          <t>======
ID#AAABDq5TrYU
YULIED.PENARANDA    (2023-11-09 13:07:34)
Extinción de la obligación a cargo de la SDA.</t>
        </r>
      </text>
    </comment>
    <comment ref="A16" authorId="0" shapeId="0" xr:uid="{00000000-0006-0000-0400-00000A000000}">
      <text>
        <r>
          <rPr>
            <sz val="11"/>
            <color theme="1"/>
            <rFont val="Calibri"/>
            <family val="2"/>
            <scheme val="minor"/>
          </rPr>
          <t>======
ID#AAABDq5Tq3U
YULIED.PENARANDA    (2023-11-09 13:07:33)
Corresponde a la información en firme de cada vigencia fiscal.</t>
        </r>
      </text>
    </comment>
    <comment ref="A17" authorId="0" shapeId="0" xr:uid="{00000000-0006-0000-0400-00000B000000}">
      <text>
        <r>
          <rPr>
            <sz val="11"/>
            <color theme="1"/>
            <rFont val="Calibri"/>
            <family val="2"/>
            <scheme val="minor"/>
          </rPr>
          <t>======
ID#AAABDq5TrX4
YULIED.PENARANDA    (2023-11-09 13:07:34)
Vigencia a reportar</t>
        </r>
      </text>
    </comment>
    <comment ref="C17" authorId="0" shapeId="0" xr:uid="{00000000-0006-0000-0400-00000C000000}">
      <text>
        <r>
          <rPr>
            <sz val="11"/>
            <color theme="1"/>
            <rFont val="Calibri"/>
            <family val="2"/>
            <scheme val="minor"/>
          </rPr>
          <t>======
ID#AAABDq5Truk
YULIED.PENARANDA    (2023-11-09 13:07:33)
Apropiación inicial acorde con la herramienta oficial de la SDH</t>
        </r>
      </text>
    </comment>
    <comment ref="D17" authorId="0" shapeId="0" xr:uid="{00000000-0006-0000-0400-00000D000000}">
      <text>
        <r>
          <rPr>
            <sz val="11"/>
            <color theme="1"/>
            <rFont val="Calibri"/>
            <family val="2"/>
            <scheme val="minor"/>
          </rPr>
          <t>======
ID#AAABDq5Tqw8
YULIED.PENARANDA    (2023-11-09 13:07:34)
Apropiación inicial + 0 - movimientos positivos y/o negativos, con este valor se proyecta los compromisos</t>
        </r>
      </text>
    </comment>
    <comment ref="E17" authorId="0" shapeId="0" xr:uid="{00000000-0006-0000-0400-00000E000000}">
      <text>
        <r>
          <rPr>
            <sz val="11"/>
            <color theme="1"/>
            <rFont val="Calibri"/>
            <family val="2"/>
            <scheme val="minor"/>
          </rPr>
          <t>======
ID#AAABDq5Tryo
YULIED.PENARANDA    (2023-11-09 13:07:34)
Valores contenidos en los Registros Presupuestales de Compromisos</t>
        </r>
      </text>
    </comment>
    <comment ref="F17" authorId="0" shapeId="0" xr:uid="{00000000-0006-0000-0400-00000F000000}">
      <text>
        <r>
          <rPr>
            <sz val="11"/>
            <color theme="1"/>
            <rFont val="Calibri"/>
            <family val="2"/>
            <scheme val="minor"/>
          </rPr>
          <t>======
ID#AAABDq5TrIk
YULIED.PENARANDA    (2023-11-09 13:07:34)
Corresponde al pago</t>
        </r>
      </text>
    </comment>
    <comment ref="G17" authorId="0" shapeId="0" xr:uid="{00000000-0006-0000-0400-000010000000}">
      <text>
        <r>
          <rPr>
            <sz val="11"/>
            <color theme="1"/>
            <rFont val="Calibri"/>
            <family val="2"/>
            <scheme val="minor"/>
          </rPr>
          <t>======
ID#AAABDq5TrMM
YULIED.PENARANDA    (2023-11-09 13:07:33)
Extinción de la obligación a cargo de la SDA.</t>
        </r>
      </text>
    </comment>
    <comment ref="A31" authorId="0" shapeId="0" xr:uid="{00000000-0006-0000-0400-000011000000}">
      <text>
        <r>
          <rPr>
            <sz val="11"/>
            <color theme="1"/>
            <rFont val="Calibri"/>
            <family val="2"/>
            <scheme val="minor"/>
          </rPr>
          <t>======
ID#AAABDq5TrVI
YULIED.PENARANDA    (2023-11-09 13:07:34)
Corresponde a la información en firme de cada vigencia fiscal.</t>
        </r>
      </text>
    </comment>
    <comment ref="A32" authorId="0" shapeId="0" xr:uid="{00000000-0006-0000-0400-000012000000}">
      <text>
        <r>
          <rPr>
            <sz val="11"/>
            <color theme="1"/>
            <rFont val="Calibri"/>
            <family val="2"/>
            <scheme val="minor"/>
          </rPr>
          <t>======
ID#AAABDq5TrXQ
YULIED.PENARANDA    (2023-11-09 13:07:34)
Vigencia a reportar</t>
        </r>
      </text>
    </comment>
    <comment ref="C32" authorId="0" shapeId="0" xr:uid="{00000000-0006-0000-0400-000013000000}">
      <text>
        <r>
          <rPr>
            <sz val="11"/>
            <color theme="1"/>
            <rFont val="Calibri"/>
            <family val="2"/>
            <scheme val="minor"/>
          </rPr>
          <t>======
ID#AAABDq5TrN8
YULIED.PENARANDA    (2023-11-09 13:07:34)
Apropiación inicial acorde con la herramienta oficial de la SDH</t>
        </r>
      </text>
    </comment>
    <comment ref="D32" authorId="0" shapeId="0" xr:uid="{00000000-0006-0000-0400-000014000000}">
      <text>
        <r>
          <rPr>
            <sz val="11"/>
            <color theme="1"/>
            <rFont val="Calibri"/>
            <family val="2"/>
            <scheme val="minor"/>
          </rPr>
          <t>======
ID#AAABDq5TrYo
YULIED.PENARANDA    (2023-11-09 13:07:33)
Apropiación inicial + 0 - movimientos positivos y/o negativos, con este valor se proyecta los compromisos</t>
        </r>
      </text>
    </comment>
    <comment ref="E32" authorId="0" shapeId="0" xr:uid="{00000000-0006-0000-0400-000015000000}">
      <text>
        <r>
          <rPr>
            <sz val="11"/>
            <color theme="1"/>
            <rFont val="Calibri"/>
            <family val="2"/>
            <scheme val="minor"/>
          </rPr>
          <t>======
ID#AAABDq5TroY
YULIED.PENARANDA    (2023-11-09 13:07:34)
Valores contenidos en los Registros Presupuestales de Compromisos</t>
        </r>
      </text>
    </comment>
    <comment ref="F32" authorId="0" shapeId="0" xr:uid="{00000000-0006-0000-0400-000016000000}">
      <text>
        <r>
          <rPr>
            <sz val="11"/>
            <color theme="1"/>
            <rFont val="Calibri"/>
            <family val="2"/>
            <scheme val="minor"/>
          </rPr>
          <t>======
ID#AAABDq5Tq5Q
YULIED.PENARANDA    (2023-11-09 13:07:34)
Corresponde al pago</t>
        </r>
      </text>
    </comment>
    <comment ref="G32" authorId="0" shapeId="0" xr:uid="{00000000-0006-0000-0400-000017000000}">
      <text>
        <r>
          <rPr>
            <sz val="11"/>
            <color theme="1"/>
            <rFont val="Calibri"/>
            <family val="2"/>
            <scheme val="minor"/>
          </rPr>
          <t>======
ID#AAABDq5TrT4
YULIED.PENARANDA    (2023-11-09 13:07:33)
Extinción de la obligación a cargo de la SDA.</t>
        </r>
      </text>
    </comment>
    <comment ref="A46" authorId="0" shapeId="0" xr:uid="{00000000-0006-0000-0400-000018000000}">
      <text>
        <r>
          <rPr>
            <sz val="11"/>
            <color theme="1"/>
            <rFont val="Calibri"/>
            <family val="2"/>
            <scheme val="minor"/>
          </rPr>
          <t>======
ID#AAABDq5TrVs
YULIED.PENARANDA    (2023-11-09 13:07:33)
Corresponde a la información en firme de cada vigencia fiscal.</t>
        </r>
      </text>
    </comment>
    <comment ref="A47" authorId="0" shapeId="0" xr:uid="{00000000-0006-0000-0400-000019000000}">
      <text>
        <r>
          <rPr>
            <sz val="11"/>
            <color theme="1"/>
            <rFont val="Calibri"/>
            <family val="2"/>
            <scheme val="minor"/>
          </rPr>
          <t>======
ID#AAABDq5TrRA
YULIED.PENARANDA    (2023-11-09 13:07:34)
Vigencia a reportar</t>
        </r>
      </text>
    </comment>
    <comment ref="C47" authorId="0" shapeId="0" xr:uid="{00000000-0006-0000-0400-00001A000000}">
      <text>
        <r>
          <rPr>
            <sz val="11"/>
            <color theme="1"/>
            <rFont val="Calibri"/>
            <family val="2"/>
            <scheme val="minor"/>
          </rPr>
          <t>======
ID#AAABDq5TrI8
YULIED.PENARANDA    (2023-11-09 13:07:33)
Apropiación inicial acorde con la herramienta oficial de la SDH</t>
        </r>
      </text>
    </comment>
    <comment ref="D47" authorId="0" shapeId="0" xr:uid="{00000000-0006-0000-0400-00001B000000}">
      <text>
        <r>
          <rPr>
            <sz val="11"/>
            <color theme="1"/>
            <rFont val="Calibri"/>
            <family val="2"/>
            <scheme val="minor"/>
          </rPr>
          <t>======
ID#AAABDq5TrXU
YULIED.PENARANDA    (2023-11-09 13:07:34)
Apropiación inicial + 0 - movimientos positivos y/o negativos, con este valor se proyecta los compromisos</t>
        </r>
      </text>
    </comment>
    <comment ref="E47" authorId="0" shapeId="0" xr:uid="{00000000-0006-0000-0400-00001C000000}">
      <text>
        <r>
          <rPr>
            <sz val="11"/>
            <color theme="1"/>
            <rFont val="Calibri"/>
            <family val="2"/>
            <scheme val="minor"/>
          </rPr>
          <t>======
ID#AAABDq5Tq5I
YULIED.PENARANDA    (2023-11-09 13:07:34)
Valores contenidos en los Registros Presupuestales de Compromisos</t>
        </r>
      </text>
    </comment>
    <comment ref="F47" authorId="0" shapeId="0" xr:uid="{00000000-0006-0000-0400-00001D000000}">
      <text>
        <r>
          <rPr>
            <sz val="11"/>
            <color theme="1"/>
            <rFont val="Calibri"/>
            <family val="2"/>
            <scheme val="minor"/>
          </rPr>
          <t>======
ID#AAABDq5Tq1I
YULIED.PENARANDA    (2023-11-09 13:07:34)
Corresponde al pago</t>
        </r>
      </text>
    </comment>
    <comment ref="G47" authorId="0" shapeId="0" xr:uid="{00000000-0006-0000-0400-00001E000000}">
      <text>
        <r>
          <rPr>
            <sz val="11"/>
            <color theme="1"/>
            <rFont val="Calibri"/>
            <family val="2"/>
            <scheme val="minor"/>
          </rPr>
          <t>======
ID#AAABDq5TqxA
YULIED.PENARANDA    (2023-11-09 13:07:34)
Extinción de la obligación a cargo de la SDA.</t>
        </r>
      </text>
    </comment>
    <comment ref="A61" authorId="0" shapeId="0" xr:uid="{00000000-0006-0000-0400-00001F000000}">
      <text>
        <r>
          <rPr>
            <sz val="11"/>
            <color theme="1"/>
            <rFont val="Calibri"/>
            <family val="2"/>
            <scheme val="minor"/>
          </rPr>
          <t>======
ID#AAABDq5TqqI
YULIED.PENARANDA    (2023-11-09 13:07:34)
Corresponde a la información en firme de cada vigencia fiscal.</t>
        </r>
      </text>
    </comment>
    <comment ref="A62" authorId="0" shapeId="0" xr:uid="{00000000-0006-0000-0400-000020000000}">
      <text>
        <r>
          <rPr>
            <sz val="11"/>
            <color theme="1"/>
            <rFont val="Calibri"/>
            <family val="2"/>
            <scheme val="minor"/>
          </rPr>
          <t>======
ID#AAABDq5Trlw
YULIED.PENARANDA    (2023-11-09 13:07:33)
Vigencia a reportar</t>
        </r>
      </text>
    </comment>
    <comment ref="C62" authorId="0" shapeId="0" xr:uid="{00000000-0006-0000-0400-000021000000}">
      <text>
        <r>
          <rPr>
            <sz val="11"/>
            <color theme="1"/>
            <rFont val="Calibri"/>
            <family val="2"/>
            <scheme val="minor"/>
          </rPr>
          <t>======
ID#AAABDq5Troc
YULIED.PENARANDA    (2023-11-09 13:07:34)
Apropiación inicial acorde con la herramienta oficial de la SDH</t>
        </r>
      </text>
    </comment>
    <comment ref="D62" authorId="0" shapeId="0" xr:uid="{00000000-0006-0000-0400-000022000000}">
      <text>
        <r>
          <rPr>
            <sz val="11"/>
            <color theme="1"/>
            <rFont val="Calibri"/>
            <family val="2"/>
            <scheme val="minor"/>
          </rPr>
          <t>======
ID#AAABDq5Trw8
YULIED.PENARANDA    (2023-11-09 13:07:33)
Apropiación inicial + 0 - movimientos positivos y/o negativos, con este valor se proyecta los compromisos</t>
        </r>
      </text>
    </comment>
    <comment ref="E62" authorId="0" shapeId="0" xr:uid="{00000000-0006-0000-0400-000023000000}">
      <text>
        <r>
          <rPr>
            <sz val="11"/>
            <color theme="1"/>
            <rFont val="Calibri"/>
            <family val="2"/>
            <scheme val="minor"/>
          </rPr>
          <t>======
ID#AAABDq5Tqp8
YULIED.PENARANDA    (2023-11-09 13:07:34)
Valores contenidos en los Registros Presupuestales de Compromisos</t>
        </r>
      </text>
    </comment>
    <comment ref="F62" authorId="0" shapeId="0" xr:uid="{00000000-0006-0000-0400-000024000000}">
      <text>
        <r>
          <rPr>
            <sz val="11"/>
            <color theme="1"/>
            <rFont val="Calibri"/>
            <family val="2"/>
            <scheme val="minor"/>
          </rPr>
          <t>======
ID#AAABDq5TrnA
YULIED.PENARANDA    (2023-11-09 13:07:33)
Corresponde al pago</t>
        </r>
      </text>
    </comment>
    <comment ref="G62" authorId="0" shapeId="0" xr:uid="{00000000-0006-0000-0400-000025000000}">
      <text>
        <r>
          <rPr>
            <sz val="11"/>
            <color theme="1"/>
            <rFont val="Calibri"/>
            <family val="2"/>
            <scheme val="minor"/>
          </rPr>
          <t>======
ID#AAABDq5TrD0
YULIED.PENARANDA    (2023-11-09 13:07:33)
Extinción de la obligación a cargo de la SDA.</t>
        </r>
      </text>
    </comment>
    <comment ref="A76" authorId="0" shapeId="0" xr:uid="{00000000-0006-0000-0400-000026000000}">
      <text>
        <r>
          <rPr>
            <sz val="11"/>
            <color theme="1"/>
            <rFont val="Calibri"/>
            <family val="2"/>
            <scheme val="minor"/>
          </rPr>
          <t>======
ID#AAABDq5TruA
YULIED.PENARANDA    (2023-11-09 13:07:34)
Avance productos e indicadores de productos (según cadena de valor)
NOTA: Desagregar cuadro cuantas veces tenga productos y/o indicadores asociados</t>
        </r>
      </text>
    </comment>
    <comment ref="N77" authorId="0" shapeId="0" xr:uid="{00000000-0006-0000-0400-000027000000}">
      <text>
        <r>
          <rPr>
            <sz val="11"/>
            <color theme="1"/>
            <rFont val="Calibri"/>
            <family val="2"/>
            <scheme val="minor"/>
          </rPr>
          <t>======
ID#AAABDq5Truo
YULIED.PENARANDA    (2023-11-09 13:07:33)
Descripción concreta del avance, máximo de caracteres 200</t>
        </r>
      </text>
    </comment>
    <comment ref="A96" authorId="0" shapeId="0" xr:uid="{00000000-0006-0000-0400-000028000000}">
      <text>
        <r>
          <rPr>
            <sz val="11"/>
            <color theme="1"/>
            <rFont val="Calibri"/>
            <family val="2"/>
            <scheme val="minor"/>
          </rPr>
          <t>======
ID#AAABDq5Tqp0
YULIED.PENARANDA    (2023-11-09 13:07:34)
Avance productos e indicadores de productos (según cadena de valor)
NOTA: Desagregar cuadro cuantas veces tenga productos y/o indicadores asociados</t>
        </r>
      </text>
    </comment>
    <comment ref="A97" authorId="0" shapeId="0" xr:uid="{00000000-0006-0000-0400-000029000000}">
      <text>
        <r>
          <rPr>
            <sz val="11"/>
            <color theme="1"/>
            <rFont val="Calibri"/>
            <family val="2"/>
            <scheme val="minor"/>
          </rPr>
          <t>======
ID#AAABDq5Trpk
YULIED.PENARANDA    (2023-11-09 13:07:34)
Vigencia a reportar</t>
        </r>
      </text>
    </comment>
    <comment ref="B97" authorId="0" shapeId="0" xr:uid="{00000000-0006-0000-0400-00002A000000}">
      <text>
        <r>
          <rPr>
            <sz val="11"/>
            <color theme="1"/>
            <rFont val="Calibri"/>
            <family val="2"/>
            <scheme val="minor"/>
          </rPr>
          <t>======
ID#AAABDq5TrZ8
YULIED.PENARANDA    (2023-11-09 13:07:34)
Describir los objetivo específico del proyecto, como se definió en la formulación del proyecto</t>
        </r>
      </text>
    </comment>
    <comment ref="C97" authorId="0" shapeId="0" xr:uid="{00000000-0006-0000-0400-00002B000000}">
      <text>
        <r>
          <rPr>
            <sz val="11"/>
            <color theme="1"/>
            <rFont val="Calibri"/>
            <family val="2"/>
            <scheme val="minor"/>
          </rPr>
          <t>======
ID#AAABDq5TrwU
YULIED.PENARANDA    (2023-11-09 13:07:33)
Describir los productos del proyecto, como se definió en la formulación del proyecto y de acuerdo con el catálogo de productos DNP</t>
        </r>
      </text>
    </comment>
    <comment ref="D97" authorId="0" shapeId="0" xr:uid="{00000000-0006-0000-0400-00002C000000}">
      <text>
        <r>
          <rPr>
            <sz val="11"/>
            <color theme="1"/>
            <rFont val="Calibri"/>
            <family val="2"/>
            <scheme val="minor"/>
          </rPr>
          <t>======
ID#AAABDq5Tq60
YULIED.PENARANDA    (2023-11-09 13:07:33)
Nombre completo del indicador. Expresión verbal, precisa y concreta del patrón de evaluación.</t>
        </r>
      </text>
    </comment>
    <comment ref="E97" authorId="0" shapeId="0" xr:uid="{00000000-0006-0000-0400-00002D000000}">
      <text>
        <r>
          <rPr>
            <sz val="11"/>
            <color theme="1"/>
            <rFont val="Calibri"/>
            <family val="2"/>
            <scheme val="minor"/>
          </rPr>
          <t>======
ID#AAABDq5TrXI
YULIED.PENARANDA    (2023-11-09 13:07:34)
Unidad cualitativa del indicador, define las características de la magnitud a realizar seguimiento. Eje: Hectáreas, estrategias, modelos, etc.</t>
        </r>
      </text>
    </comment>
    <comment ref="F97" authorId="0" shapeId="0" xr:uid="{00000000-0006-0000-0400-00002E000000}">
      <text>
        <r>
          <rPr>
            <sz val="11"/>
            <color theme="1"/>
            <rFont val="Calibri"/>
            <family val="2"/>
            <scheme val="minor"/>
          </rPr>
          <t>======
ID#AAABDq5Trsw
YULIED.PENARANDA    (2023-11-09 13:07:33)
Ponderación del indicador se realiza de acuerdo al peso que cada producto tiene en el caso total del proyecto.</t>
        </r>
      </text>
    </comment>
    <comment ref="G97" authorId="0" shapeId="0" xr:uid="{00000000-0006-0000-0400-00002F000000}">
      <text>
        <r>
          <rPr>
            <sz val="11"/>
            <color theme="1"/>
            <rFont val="Calibri"/>
            <family val="2"/>
            <scheme val="minor"/>
          </rPr>
          <t>======
ID#AAABDq5Tq-c
YULIED.PENARANDA    (2023-11-09 13:07:33)
Nombre completo de la Meta  del Plan de Desarrollo, como se relaciona en el de gestión</t>
        </r>
      </text>
    </comment>
    <comment ref="N97" authorId="0" shapeId="0" xr:uid="{00000000-0006-0000-0400-000030000000}">
      <text>
        <r>
          <rPr>
            <sz val="11"/>
            <color theme="1"/>
            <rFont val="Calibri"/>
            <family val="2"/>
            <scheme val="minor"/>
          </rPr>
          <t>======
ID#AAABDq5Tri8
YULIED.PENARANDA    (2023-11-09 13:07:34)
Descripción concreta del avance, máximo de caracteres 200</t>
        </r>
      </text>
    </comment>
    <comment ref="A147" authorId="0" shapeId="0" xr:uid="{00000000-0006-0000-0400-000031000000}">
      <text>
        <r>
          <rPr>
            <sz val="11"/>
            <color theme="1"/>
            <rFont val="Calibri"/>
            <family val="2"/>
            <scheme val="minor"/>
          </rPr>
          <t>======
ID#AAABDq5Trnw
YULIED.PENARANDA    (2023-11-09 13:07:33)
Avance productos e indicadores de productos (según cadena de valor)
NOTA: Desagregar cuadro cuantas veces tenga productos y/o indicadores asociados</t>
        </r>
      </text>
    </comment>
    <comment ref="A148" authorId="0" shapeId="0" xr:uid="{00000000-0006-0000-0400-000032000000}">
      <text>
        <r>
          <rPr>
            <sz val="11"/>
            <color theme="1"/>
            <rFont val="Calibri"/>
            <family val="2"/>
            <scheme val="minor"/>
          </rPr>
          <t>======
ID#AAABDq5Tq0Q
YULIED.PENARANDA    (2023-11-09 13:07:33)
Vigencia a reportar</t>
        </r>
      </text>
    </comment>
    <comment ref="B148" authorId="0" shapeId="0" xr:uid="{00000000-0006-0000-0400-000033000000}">
      <text>
        <r>
          <rPr>
            <sz val="11"/>
            <color theme="1"/>
            <rFont val="Calibri"/>
            <family val="2"/>
            <scheme val="minor"/>
          </rPr>
          <t>======
ID#AAABDq5TrtQ
YULIED.PENARANDA    (2023-11-09 13:07:34)
Describir los objetivo específico del proyecto, como se definió en la formulación del proyecto</t>
        </r>
      </text>
    </comment>
    <comment ref="C148" authorId="0" shapeId="0" xr:uid="{00000000-0006-0000-0400-000034000000}">
      <text>
        <r>
          <rPr>
            <sz val="11"/>
            <color theme="1"/>
            <rFont val="Calibri"/>
            <family val="2"/>
            <scheme val="minor"/>
          </rPr>
          <t>======
ID#AAABDq5Trdk
YULIED.PENARANDA    (2023-11-09 13:07:34)
Describir los productos del proyecto, como se definió en la formulación del proyecto y de acuerdo con el catálogo de productos DNP</t>
        </r>
      </text>
    </comment>
    <comment ref="D148" authorId="0" shapeId="0" xr:uid="{00000000-0006-0000-0400-000035000000}">
      <text>
        <r>
          <rPr>
            <sz val="11"/>
            <color theme="1"/>
            <rFont val="Calibri"/>
            <family val="2"/>
            <scheme val="minor"/>
          </rPr>
          <t>======
ID#AAABDq5TrrQ
YULIED.PENARANDA    (2023-11-09 13:07:33)
Nombre completo del indicador. Expresión verbal, precisa y concreta del patrón de evaluación.</t>
        </r>
      </text>
    </comment>
    <comment ref="E148" authorId="0" shapeId="0" xr:uid="{00000000-0006-0000-0400-000036000000}">
      <text>
        <r>
          <rPr>
            <sz val="11"/>
            <color theme="1"/>
            <rFont val="Calibri"/>
            <family val="2"/>
            <scheme val="minor"/>
          </rPr>
          <t>======
ID#AAABDq5TrXc
YULIED.PENARANDA    (2023-11-09 13:07:34)
Unidad cualitativa del indicador, define las características de la magnitud a realizar seguimiento. Eje: Hectáreas, estrategias, modelos, etc.</t>
        </r>
      </text>
    </comment>
    <comment ref="F148" authorId="0" shapeId="0" xr:uid="{00000000-0006-0000-0400-000037000000}">
      <text>
        <r>
          <rPr>
            <sz val="11"/>
            <color theme="1"/>
            <rFont val="Calibri"/>
            <family val="2"/>
            <scheme val="minor"/>
          </rPr>
          <t>======
ID#AAABDq5Tq_Y
YULIED.PENARANDA    (2023-11-09 13:07:33)
Ponderación del indicador se realiza de acuerdo al peso que cada producto tiene en el caso total del proyecto.</t>
        </r>
      </text>
    </comment>
    <comment ref="G148" authorId="0" shapeId="0" xr:uid="{00000000-0006-0000-0400-000038000000}">
      <text>
        <r>
          <rPr>
            <sz val="11"/>
            <color theme="1"/>
            <rFont val="Calibri"/>
            <family val="2"/>
            <scheme val="minor"/>
          </rPr>
          <t>======
ID#AAABDq5TrMw
YULIED.PENARANDA    (2023-11-09 13:07:33)
Nombre completo de la Meta  del Plan de Desarrollo, como se relaciona en el de gestión</t>
        </r>
      </text>
    </comment>
    <comment ref="N148" authorId="0" shapeId="0" xr:uid="{00000000-0006-0000-0400-000039000000}">
      <text>
        <r>
          <rPr>
            <sz val="11"/>
            <color theme="1"/>
            <rFont val="Calibri"/>
            <family val="2"/>
            <scheme val="minor"/>
          </rPr>
          <t>======
ID#AAABDq5Tq5U
YULIED.PENARANDA    (2023-11-09 13:07:33)
Descripción concreta del avance, máximo de caracteres 200</t>
        </r>
      </text>
    </comment>
    <comment ref="A194" authorId="0" shapeId="0" xr:uid="{00000000-0006-0000-0400-00003A000000}">
      <text>
        <r>
          <rPr>
            <sz val="11"/>
            <color theme="1"/>
            <rFont val="Calibri"/>
            <family val="2"/>
            <scheme val="minor"/>
          </rPr>
          <t>======
ID#AAABDq5Tq68
YULIED.PENARANDA    (2023-11-09 13:07:34)
Avance productos e indicadores de productos (según cadena de valor)
NOTA: Desagregar cuadro cuantas veces tenga productos y/o indicadores asociados</t>
        </r>
      </text>
    </comment>
    <comment ref="A195" authorId="0" shapeId="0" xr:uid="{00000000-0006-0000-0400-00003B000000}">
      <text>
        <r>
          <rPr>
            <sz val="11"/>
            <color theme="1"/>
            <rFont val="Calibri"/>
            <family val="2"/>
            <scheme val="minor"/>
          </rPr>
          <t>======
ID#AAABDq5TrzY
YULIED.PENARANDA    (2023-11-09 13:07:33)
Vigencia a reportar</t>
        </r>
      </text>
    </comment>
    <comment ref="B195" authorId="0" shapeId="0" xr:uid="{00000000-0006-0000-0400-00003C000000}">
      <text>
        <r>
          <rPr>
            <sz val="11"/>
            <color theme="1"/>
            <rFont val="Calibri"/>
            <family val="2"/>
            <scheme val="minor"/>
          </rPr>
          <t>======
ID#AAABDq5TriY
YULIED.PENARANDA    (2023-11-09 13:07:34)
Describir los objetivo específico del proyecto, como se definió en la formulación del proyecto</t>
        </r>
      </text>
    </comment>
    <comment ref="C195" authorId="0" shapeId="0" xr:uid="{00000000-0006-0000-0400-00003D000000}">
      <text>
        <r>
          <rPr>
            <sz val="11"/>
            <color theme="1"/>
            <rFont val="Calibri"/>
            <family val="2"/>
            <scheme val="minor"/>
          </rPr>
          <t>======
ID#AAABDq5Tq8U
YULIED.PENARANDA    (2023-11-09 13:07:34)
Describir los productos del proyecto, como se definió en la formulación del proyecto y de acuerdo con el catálogo de productos DNP</t>
        </r>
      </text>
    </comment>
    <comment ref="D195" authorId="0" shapeId="0" xr:uid="{00000000-0006-0000-0400-00003E000000}">
      <text>
        <r>
          <rPr>
            <sz val="11"/>
            <color theme="1"/>
            <rFont val="Calibri"/>
            <family val="2"/>
            <scheme val="minor"/>
          </rPr>
          <t>======
ID#AAABDq5Tq50
YULIED.PENARANDA    (2023-11-09 13:07:34)
Nombre completo del indicador. Expresión verbal, precisa y concreta del patrón de evaluación.</t>
        </r>
      </text>
    </comment>
    <comment ref="E195" authorId="0" shapeId="0" xr:uid="{00000000-0006-0000-0400-00003F000000}">
      <text>
        <r>
          <rPr>
            <sz val="11"/>
            <color theme="1"/>
            <rFont val="Calibri"/>
            <family val="2"/>
            <scheme val="minor"/>
          </rPr>
          <t>======
ID#AAABDq5Trgw
YULIED.PENARANDA    (2023-11-09 13:07:34)
Unidad cualitativa del indicador, define las características de la magnitud a realizar seguimiento. Eje: Hectáreas, estrategias, modelos, etc.</t>
        </r>
      </text>
    </comment>
    <comment ref="F195" authorId="0" shapeId="0" xr:uid="{00000000-0006-0000-0400-000040000000}">
      <text>
        <r>
          <rPr>
            <sz val="11"/>
            <color theme="1"/>
            <rFont val="Calibri"/>
            <family val="2"/>
            <scheme val="minor"/>
          </rPr>
          <t>======
ID#AAABDq5Tq9Y
YULIED.PENARANDA    (2023-11-09 13:07:34)
Ponderación del indicador se realiza de acuerdo al peso que cada producto tiene en el caso total del proyecto.</t>
        </r>
      </text>
    </comment>
    <comment ref="G195" authorId="0" shapeId="0" xr:uid="{00000000-0006-0000-0400-000041000000}">
      <text>
        <r>
          <rPr>
            <sz val="11"/>
            <color theme="1"/>
            <rFont val="Calibri"/>
            <family val="2"/>
            <scheme val="minor"/>
          </rPr>
          <t>======
ID#AAABDq5TrEk
YULIED.PENARANDA    (2023-11-09 13:07:34)
Nombre completo de la Meta  del Plan de Desarrollo, como se relaciona en el de gestión</t>
        </r>
      </text>
    </comment>
    <comment ref="N195" authorId="0" shapeId="0" xr:uid="{00000000-0006-0000-0400-000042000000}">
      <text>
        <r>
          <rPr>
            <sz val="11"/>
            <color theme="1"/>
            <rFont val="Calibri"/>
            <family val="2"/>
            <scheme val="minor"/>
          </rPr>
          <t>======
ID#AAABDq5Tq_s
YULIED.PENARANDA    (2023-11-09 13:07:34)
Descripción concreta del avance, máximo de caracteres 200</t>
        </r>
      </text>
    </comment>
    <comment ref="A244" authorId="0" shapeId="0" xr:uid="{00000000-0006-0000-0400-000043000000}">
      <text>
        <r>
          <rPr>
            <sz val="11"/>
            <color theme="1"/>
            <rFont val="Calibri"/>
            <family val="2"/>
            <scheme val="minor"/>
          </rPr>
          <t>======
ID#AAABDq5Tq6w
YULIED.PENARANDA    (2023-11-09 13:07:33)
Avance productos e indicadores de productos (según cadena de valor)
NOTA: Desagregar cuadro cuantas veces tenga productos y/o indicadores asociados</t>
        </r>
      </text>
    </comment>
    <comment ref="A245" authorId="0" shapeId="0" xr:uid="{00000000-0006-0000-0400-000044000000}">
      <text>
        <r>
          <rPr>
            <sz val="11"/>
            <color theme="1"/>
            <rFont val="Calibri"/>
            <family val="2"/>
            <scheme val="minor"/>
          </rPr>
          <t>======
ID#AAABDq5TrM8
YULIED.PENARANDA    (2023-11-09 13:07:34)
Vigencia a reportar</t>
        </r>
      </text>
    </comment>
    <comment ref="B245" authorId="0" shapeId="0" xr:uid="{00000000-0006-0000-0400-000045000000}">
      <text>
        <r>
          <rPr>
            <sz val="11"/>
            <color theme="1"/>
            <rFont val="Calibri"/>
            <family val="2"/>
            <scheme val="minor"/>
          </rPr>
          <t>======
ID#AAABDq5TrNM
YULIED.PENARANDA    (2023-11-09 13:07:33)
Describir los objetivo específico del proyecto, como se definió en la formulación del proyecto</t>
        </r>
      </text>
    </comment>
    <comment ref="C245" authorId="0" shapeId="0" xr:uid="{00000000-0006-0000-0400-000046000000}">
      <text>
        <r>
          <rPr>
            <sz val="11"/>
            <color theme="1"/>
            <rFont val="Calibri"/>
            <family val="2"/>
            <scheme val="minor"/>
          </rPr>
          <t>======
ID#AAABDq5Tqvw
YULIED.PENARANDA    (2023-11-09 13:07:34)
Describir los productos del proyecto, como se definió en la formulación del proyecto y de acuerdo con el catálogo de productos DNP</t>
        </r>
      </text>
    </comment>
    <comment ref="D245" authorId="0" shapeId="0" xr:uid="{00000000-0006-0000-0400-000047000000}">
      <text>
        <r>
          <rPr>
            <sz val="11"/>
            <color theme="1"/>
            <rFont val="Calibri"/>
            <family val="2"/>
            <scheme val="minor"/>
          </rPr>
          <t>======
ID#AAABDq5TrFc
YULIED.PENARANDA    (2023-11-09 13:07:34)
Nombre completo del indicador. Expresión verbal, precisa y concreta del patrón de evaluación.</t>
        </r>
      </text>
    </comment>
    <comment ref="E245" authorId="0" shapeId="0" xr:uid="{00000000-0006-0000-0400-000048000000}">
      <text>
        <r>
          <rPr>
            <sz val="11"/>
            <color theme="1"/>
            <rFont val="Calibri"/>
            <family val="2"/>
            <scheme val="minor"/>
          </rPr>
          <t>======
ID#AAABDq5TreY
YULIED.PENARANDA    (2023-11-09 13:07:34)
Unidad cualitativa del indicador, define las características de la magnitud a realizar seguimiento. Eje: Hectáreas, estrategias, modelos, etc.</t>
        </r>
      </text>
    </comment>
    <comment ref="F245" authorId="0" shapeId="0" xr:uid="{00000000-0006-0000-0400-000049000000}">
      <text>
        <r>
          <rPr>
            <sz val="11"/>
            <color theme="1"/>
            <rFont val="Calibri"/>
            <family val="2"/>
            <scheme val="minor"/>
          </rPr>
          <t>======
ID#AAABDq5TriE
YULIED.PENARANDA    (2023-11-09 13:07:34)
Ponderación del indicador se realiza de acuerdo al peso que cada producto tiene en el caso total del proyecto.</t>
        </r>
      </text>
    </comment>
    <comment ref="G245" authorId="0" shapeId="0" xr:uid="{00000000-0006-0000-0400-00004A000000}">
      <text>
        <r>
          <rPr>
            <sz val="11"/>
            <color theme="1"/>
            <rFont val="Calibri"/>
            <family val="2"/>
            <scheme val="minor"/>
          </rPr>
          <t>======
ID#AAABDq5Trf0
YULIED.PENARANDA    (2023-11-09 13:07:34)
Nombre completo de la Meta  del Plan de Desarrollo, como se relaciona en el de gestión</t>
        </r>
      </text>
    </comment>
    <comment ref="N245" authorId="0" shapeId="0" xr:uid="{00000000-0006-0000-0400-00004B000000}">
      <text>
        <r>
          <rPr>
            <sz val="11"/>
            <color theme="1"/>
            <rFont val="Calibri"/>
            <family val="2"/>
            <scheme val="minor"/>
          </rPr>
          <t>======
ID#AAABDq5TrJ4
YULIED.PENARANDA    (2023-11-09 13:07:33)
Descripción concreta del avance, máximo de caracteres 200</t>
        </r>
      </text>
    </comment>
    <comment ref="A260" authorId="0" shapeId="0" xr:uid="{00000000-0006-0000-0400-00004C000000}">
      <text>
        <r>
          <rPr>
            <sz val="11"/>
            <color theme="1"/>
            <rFont val="Calibri"/>
            <family val="2"/>
            <scheme val="minor"/>
          </rPr>
          <t>======
ID#AAABDq5Trnk
YULIED.PENARANDA    (2023-11-09 13:07:34)
YULIED.PENARANDA
Distribuir las obligaciones del proyecto entre las diferentes actividades que hacen parte de un producto y un objetivo específico.
NOTA: Desagregar cuadro cuantas veces tenga productos asociados</t>
        </r>
      </text>
    </comment>
    <comment ref="G261" authorId="0" shapeId="0" xr:uid="{00000000-0006-0000-0400-00004D000000}">
      <text>
        <r>
          <rPr>
            <sz val="11"/>
            <color theme="1"/>
            <rFont val="Calibri"/>
            <family val="2"/>
            <scheme val="minor"/>
          </rPr>
          <t>======
ID#AAABDq5Trs4
YULIED.PENARANDA    (2023-11-09 13:07:34)
Descripción concreta del avance, máximo de caracteres 200</t>
        </r>
      </text>
    </comment>
    <comment ref="A275" authorId="0" shapeId="0" xr:uid="{00000000-0006-0000-0400-00004E000000}">
      <text>
        <r>
          <rPr>
            <sz val="11"/>
            <color theme="1"/>
            <rFont val="Calibri"/>
            <family val="2"/>
            <scheme val="minor"/>
          </rPr>
          <t>======
ID#AAABDq5TrS4
YULIED.PENARANDA    (2023-11-09 13:07:34)
YULIED.PENARANDA
Distribuir las obligaciones del proyecto entre las diferentes actividades que hacen parte de un producto y un objetivo específico.
NOTA: Desagregar cuadro cuantas veces tenga productos asociados</t>
        </r>
      </text>
    </comment>
    <comment ref="A276" authorId="0" shapeId="0" xr:uid="{00000000-0006-0000-0400-00004F000000}">
      <text>
        <r>
          <rPr>
            <sz val="11"/>
            <color theme="1"/>
            <rFont val="Calibri"/>
            <family val="2"/>
            <scheme val="minor"/>
          </rPr>
          <t>======
ID#AAABDq5Tq-0
YULIED.PENARANDA    (2023-11-09 13:07:33)
Vigencia a reportar</t>
        </r>
      </text>
    </comment>
    <comment ref="B276" authorId="0" shapeId="0" xr:uid="{00000000-0006-0000-0400-000050000000}">
      <text>
        <r>
          <rPr>
            <sz val="11"/>
            <color theme="1"/>
            <rFont val="Calibri"/>
            <family val="2"/>
            <scheme val="minor"/>
          </rPr>
          <t>======
ID#AAABDq5Tq_4
YULIED.PENARANDA    (2023-11-09 13:07:33)
Describir los objetivo específico del proyecto, como se definió en la formulación del proyecto</t>
        </r>
      </text>
    </comment>
    <comment ref="C276" authorId="0" shapeId="0" xr:uid="{00000000-0006-0000-0400-000051000000}">
      <text>
        <r>
          <rPr>
            <sz val="11"/>
            <color theme="1"/>
            <rFont val="Calibri"/>
            <family val="2"/>
            <scheme val="minor"/>
          </rPr>
          <t>======
ID#AAABDq5TraQ
YULIED.PENARANDA    (2023-11-09 13:07:33)
Describir los productos del proyecto, como se definió en la formulación del proyecto y de acuerdo con el catálogo de productos del DNP.</t>
        </r>
      </text>
    </comment>
    <comment ref="D276" authorId="0" shapeId="0" xr:uid="{00000000-0006-0000-0400-000052000000}">
      <text>
        <r>
          <rPr>
            <sz val="11"/>
            <color theme="1"/>
            <rFont val="Calibri"/>
            <family val="2"/>
            <scheme val="minor"/>
          </rPr>
          <t>======
ID#AAABDq5Trm0
YULIED.PENARANDA    (2023-11-09 13:07:34)
Nombre completo del indicador. Expresión verbal, precisa y concreta del patrón de evaluación.</t>
        </r>
      </text>
    </comment>
    <comment ref="G276" authorId="0" shapeId="0" xr:uid="{00000000-0006-0000-0400-000053000000}">
      <text>
        <r>
          <rPr>
            <sz val="11"/>
            <color theme="1"/>
            <rFont val="Calibri"/>
            <family val="2"/>
            <scheme val="minor"/>
          </rPr>
          <t>======
ID#AAABDq5Tqxg
YULIED.PENARANDA    (2023-11-09 13:07:33)
Descripción concreta del avance, máximo de caracteres 200</t>
        </r>
      </text>
    </comment>
    <comment ref="A378" authorId="0" shapeId="0" xr:uid="{00000000-0006-0000-0400-000054000000}">
      <text>
        <r>
          <rPr>
            <sz val="11"/>
            <color theme="1"/>
            <rFont val="Calibri"/>
            <family val="2"/>
            <scheme val="minor"/>
          </rPr>
          <t>======
ID#AAABDq5TrL8
YULIED.PENARANDA    (2023-11-09 13:07:34)
YULIED.PENARANDA
Distribuir las obligaciones del proyecto entre las diferentes actividades que hacen parte de un producto y un objetivo específico.
NOTA: Desagregar cuadro cuantas veces tenga productos asociados</t>
        </r>
      </text>
    </comment>
    <comment ref="A379" authorId="0" shapeId="0" xr:uid="{00000000-0006-0000-0400-000055000000}">
      <text>
        <r>
          <rPr>
            <sz val="11"/>
            <color theme="1"/>
            <rFont val="Calibri"/>
            <family val="2"/>
            <scheme val="minor"/>
          </rPr>
          <t>======
ID#AAABDq5Trhc
YULIED.PENARANDA    (2023-11-09 13:07:33)
Vigencia a reportar</t>
        </r>
      </text>
    </comment>
    <comment ref="B379" authorId="0" shapeId="0" xr:uid="{00000000-0006-0000-0400-000056000000}">
      <text>
        <r>
          <rPr>
            <sz val="11"/>
            <color theme="1"/>
            <rFont val="Calibri"/>
            <family val="2"/>
            <scheme val="minor"/>
          </rPr>
          <t>======
ID#AAABDq5TrwA
YULIED.PENARANDA    (2023-11-09 13:07:33)
Describir los objetivo específico del proyecto, como se definió en la formulación del proyecto</t>
        </r>
      </text>
    </comment>
    <comment ref="C379" authorId="0" shapeId="0" xr:uid="{00000000-0006-0000-0400-000057000000}">
      <text>
        <r>
          <rPr>
            <sz val="11"/>
            <color theme="1"/>
            <rFont val="Calibri"/>
            <family val="2"/>
            <scheme val="minor"/>
          </rPr>
          <t>======
ID#AAABDq5Trjc
YULIED.PENARANDA    (2023-11-09 13:07:34)
Describir los productos del proyecto, como se definió en la formulación del proyecto y de acuerdo con el catálogo de productos del DNP.</t>
        </r>
      </text>
    </comment>
    <comment ref="D379" authorId="0" shapeId="0" xr:uid="{00000000-0006-0000-0400-000058000000}">
      <text>
        <r>
          <rPr>
            <sz val="11"/>
            <color theme="1"/>
            <rFont val="Calibri"/>
            <family val="2"/>
            <scheme val="minor"/>
          </rPr>
          <t>======
ID#AAABDq5Trzs
YULIED.PENARANDA    (2023-11-09 13:07:34)
Nombre completo del indicador. Expresión verbal, precisa y concreta del patrón de evaluación.</t>
        </r>
      </text>
    </comment>
    <comment ref="G379" authorId="0" shapeId="0" xr:uid="{00000000-0006-0000-0400-000059000000}">
      <text>
        <r>
          <rPr>
            <sz val="11"/>
            <color theme="1"/>
            <rFont val="Calibri"/>
            <family val="2"/>
            <scheme val="minor"/>
          </rPr>
          <t>======
ID#AAABDq5TrJM
YULIED.PENARANDA    (2023-11-09 13:07:33)
Descripción concreta del avance, máximo de caracteres 200</t>
        </r>
      </text>
    </comment>
    <comment ref="A561" authorId="0" shapeId="0" xr:uid="{00000000-0006-0000-0400-00005A000000}">
      <text>
        <r>
          <rPr>
            <sz val="11"/>
            <color theme="1"/>
            <rFont val="Calibri"/>
            <family val="2"/>
            <scheme val="minor"/>
          </rPr>
          <t>======
ID#AAABDq5Tq0c
YULIED.PENARANDA    (2023-11-09 13:07:33)
YULIED.PENARANDA
Distribuir las obligaciones del proyecto entre las diferentes actividades que hacen parte de un producto y un objetivo específico.
NOTA: Desagregar cuadro cuantas veces tenga productos asociados</t>
        </r>
      </text>
    </comment>
    <comment ref="A562" authorId="0" shapeId="0" xr:uid="{00000000-0006-0000-0400-00005B000000}">
      <text>
        <r>
          <rPr>
            <sz val="11"/>
            <color theme="1"/>
            <rFont val="Calibri"/>
            <family val="2"/>
            <scheme val="minor"/>
          </rPr>
          <t>======
ID#AAABDq5TrhM
YULIED.PENARANDA    (2023-11-09 13:07:33)
Vigencia a reportar</t>
        </r>
      </text>
    </comment>
    <comment ref="B562" authorId="0" shapeId="0" xr:uid="{00000000-0006-0000-0400-00005C000000}">
      <text>
        <r>
          <rPr>
            <sz val="11"/>
            <color theme="1"/>
            <rFont val="Calibri"/>
            <family val="2"/>
            <scheme val="minor"/>
          </rPr>
          <t>======
ID#AAABDq5Tq14
YULIED.PENARANDA    (2023-11-09 13:07:34)
Describir los objetivo específico del proyecto, como se definió en la formulación del proyecto</t>
        </r>
      </text>
    </comment>
    <comment ref="C562" authorId="0" shapeId="0" xr:uid="{00000000-0006-0000-0400-00005D000000}">
      <text>
        <r>
          <rPr>
            <sz val="11"/>
            <color theme="1"/>
            <rFont val="Calibri"/>
            <family val="2"/>
            <scheme val="minor"/>
          </rPr>
          <t>======
ID#AAABDq5TrU8
YULIED.PENARANDA    (2023-11-09 13:07:33)
Describir los productos del proyecto, como se definió en la formulación del proyecto y de acuerdo con el catálogo de productos del DNP.</t>
        </r>
      </text>
    </comment>
    <comment ref="D562" authorId="0" shapeId="0" xr:uid="{00000000-0006-0000-0400-00005E000000}">
      <text>
        <r>
          <rPr>
            <sz val="11"/>
            <color theme="1"/>
            <rFont val="Calibri"/>
            <family val="2"/>
            <scheme val="minor"/>
          </rPr>
          <t>======
ID#AAABDq5Trc8
YULIED.PENARANDA    (2023-11-09 13:07:34)
Nombre completo del indicador. Expresión verbal, precisa y concreta del patrón de evaluación.</t>
        </r>
      </text>
    </comment>
    <comment ref="G562" authorId="0" shapeId="0" xr:uid="{00000000-0006-0000-0400-00005F000000}">
      <text>
        <r>
          <rPr>
            <sz val="11"/>
            <color theme="1"/>
            <rFont val="Calibri"/>
            <family val="2"/>
            <scheme val="minor"/>
          </rPr>
          <t>======
ID#AAABDq5TrJU
YULIED.PENARANDA    (2023-11-09 13:07:34)
Descripción concreta del avance, máximo de caracteres 200</t>
        </r>
      </text>
    </comment>
    <comment ref="A843" authorId="0" shapeId="0" xr:uid="{00000000-0006-0000-0400-000060000000}">
      <text>
        <r>
          <rPr>
            <sz val="11"/>
            <color theme="1"/>
            <rFont val="Calibri"/>
            <family val="2"/>
            <scheme val="minor"/>
          </rPr>
          <t>======
ID#AAABDq5Tq-A
YULIED.PENARANDA    (2023-11-09 13:07:34)
Avance indicadores de gestión
NOTA: Desagregar cuadro cuantas veces tenga indicadores asociados</t>
        </r>
      </text>
    </comment>
    <comment ref="A844" authorId="0" shapeId="0" xr:uid="{00000000-0006-0000-0400-000061000000}">
      <text>
        <r>
          <rPr>
            <sz val="11"/>
            <color theme="1"/>
            <rFont val="Calibri"/>
            <family val="2"/>
            <scheme val="minor"/>
          </rPr>
          <t>======
ID#AAABDq5TqyU
YULIED.PENARANDA    (2023-11-09 13:07:34)
Vigencia a reportar</t>
        </r>
      </text>
    </comment>
    <comment ref="B844" authorId="0" shapeId="0" xr:uid="{00000000-0006-0000-0400-000062000000}">
      <text>
        <r>
          <rPr>
            <sz val="11"/>
            <color theme="1"/>
            <rFont val="Calibri"/>
            <family val="2"/>
            <scheme val="minor"/>
          </rPr>
          <t>======
ID#AAABDq5Trx4
YULIED.PENARANDA    (2023-11-09 13:07:34)
Nombre completo del indicador. Expresión verbal, precisa y concreta del patrón de evaluación.</t>
        </r>
      </text>
    </comment>
    <comment ref="C844" authorId="0" shapeId="0" xr:uid="{00000000-0006-0000-0400-000063000000}">
      <text>
        <r>
          <rPr>
            <sz val="11"/>
            <color theme="1"/>
            <rFont val="Calibri"/>
            <family val="2"/>
            <scheme val="minor"/>
          </rPr>
          <t>======
ID#AAABDq5Trqs
YULIED.PENARANDA    (2023-11-09 13:07:34)
Unidad del indicador, define las características de la magnitud a realizar seguimiento. Eje: Hectáreas, estrategias, modelos, número etc.</t>
        </r>
      </text>
    </comment>
    <comment ref="D844" authorId="0" shapeId="0" xr:uid="{00000000-0006-0000-0400-000064000000}">
      <text>
        <r>
          <rPr>
            <sz val="11"/>
            <color theme="1"/>
            <rFont val="Calibri"/>
            <family val="2"/>
            <scheme val="minor"/>
          </rPr>
          <t>======
ID#AAABDq5TrFM
YULIED.PENARANDA    (2023-11-09 13:07:33)
Peso porcentual de acuerdo con la distribución de los indicadores de gestión.</t>
        </r>
      </text>
    </comment>
    <comment ref="H844" authorId="0" shapeId="0" xr:uid="{00000000-0006-0000-0400-000065000000}">
      <text>
        <r>
          <rPr>
            <sz val="11"/>
            <color theme="1"/>
            <rFont val="Calibri"/>
            <family val="2"/>
            <scheme val="minor"/>
          </rPr>
          <t>======
ID#AAABDq5Tq4w
YULIED.PENARANDA    (2023-11-09 13:07:34)
Descripción concreta del avance, máximo de caracteres 200</t>
        </r>
      </text>
    </comment>
    <comment ref="A854" authorId="0" shapeId="0" xr:uid="{00000000-0006-0000-0400-000066000000}">
      <text>
        <r>
          <rPr>
            <sz val="11"/>
            <color theme="1"/>
            <rFont val="Calibri"/>
            <family val="2"/>
            <scheme val="minor"/>
          </rPr>
          <t>======
ID#AAABDq5TrAo
YULIED.PENARANDA    (2023-11-09 13:07:33)
Avance indicadores de gestión
NOTA: Desagregar cuadro cuantas veces tenga indicadores asociados</t>
        </r>
      </text>
    </comment>
    <comment ref="A855" authorId="0" shapeId="0" xr:uid="{00000000-0006-0000-0400-000067000000}">
      <text>
        <r>
          <rPr>
            <sz val="11"/>
            <color theme="1"/>
            <rFont val="Calibri"/>
            <family val="2"/>
            <scheme val="minor"/>
          </rPr>
          <t>======
ID#AAABDq5TrCk
YULIED.PENARANDA    (2023-11-09 13:07:34)
Vigencia a reportar</t>
        </r>
      </text>
    </comment>
    <comment ref="B855" authorId="0" shapeId="0" xr:uid="{00000000-0006-0000-0400-000068000000}">
      <text>
        <r>
          <rPr>
            <sz val="11"/>
            <color theme="1"/>
            <rFont val="Calibri"/>
            <family val="2"/>
            <scheme val="minor"/>
          </rPr>
          <t>======
ID#AAABDq5Tqwc
YULIED.PENARANDA    (2023-11-09 13:07:34)
Nombre completo del indicador. Expresión verbal, precisa y concreta del patrón de evaluación.</t>
        </r>
      </text>
    </comment>
    <comment ref="C855" authorId="0" shapeId="0" xr:uid="{00000000-0006-0000-0400-000069000000}">
      <text>
        <r>
          <rPr>
            <sz val="11"/>
            <color theme="1"/>
            <rFont val="Calibri"/>
            <family val="2"/>
            <scheme val="minor"/>
          </rPr>
          <t>======
ID#AAABDq5TryQ
YULIED.PENARANDA    (2023-11-09 13:07:34)
Unidad del indicador, define las características de la magnitud a realizar seguimiento. Eje: Hectáreas, estrategias, modelos, número etc.</t>
        </r>
      </text>
    </comment>
    <comment ref="D855" authorId="0" shapeId="0" xr:uid="{00000000-0006-0000-0400-00006A000000}">
      <text>
        <r>
          <rPr>
            <sz val="11"/>
            <color theme="1"/>
            <rFont val="Calibri"/>
            <family val="2"/>
            <scheme val="minor"/>
          </rPr>
          <t>======
ID#AAABDq5TrcQ
YULIED.PENARANDA    (2023-11-09 13:07:34)
Peso porcentual de acuerdo con la distribución de los indicadores de gestión.</t>
        </r>
      </text>
    </comment>
    <comment ref="H855" authorId="0" shapeId="0" xr:uid="{00000000-0006-0000-0400-00006B000000}">
      <text>
        <r>
          <rPr>
            <sz val="11"/>
            <color theme="1"/>
            <rFont val="Calibri"/>
            <family val="2"/>
            <scheme val="minor"/>
          </rPr>
          <t>======
ID#AAABDq5TrTA
YULIED.PENARANDA    (2023-11-09 13:07:34)
Descripción concreta del avance, máximo de caracteres 200</t>
        </r>
      </text>
    </comment>
    <comment ref="A919" authorId="0" shapeId="0" xr:uid="{00000000-0006-0000-0400-00006C000000}">
      <text>
        <r>
          <rPr>
            <sz val="11"/>
            <color theme="1"/>
            <rFont val="Calibri"/>
            <family val="2"/>
            <scheme val="minor"/>
          </rPr>
          <t>======
ID#AAABDq5Trbk
YULIED.PENARANDA    (2023-11-09 13:07:34)
Avance indicadores de gestión.
NOTA: Desagregar cuadro cuantas veces tenga indicadores asociados</t>
        </r>
      </text>
    </comment>
    <comment ref="A920" authorId="0" shapeId="0" xr:uid="{00000000-0006-0000-0400-00006D000000}">
      <text>
        <r>
          <rPr>
            <sz val="11"/>
            <color theme="1"/>
            <rFont val="Calibri"/>
            <family val="2"/>
            <scheme val="minor"/>
          </rPr>
          <t>======
ID#AAABDq5Tqo4
YULIED.PENARANDA    (2023-11-09 13:07:33)
Vigencia a reportar</t>
        </r>
      </text>
    </comment>
    <comment ref="B920" authorId="0" shapeId="0" xr:uid="{00000000-0006-0000-0400-00006E000000}">
      <text>
        <r>
          <rPr>
            <sz val="11"/>
            <color theme="1"/>
            <rFont val="Calibri"/>
            <family val="2"/>
            <scheme val="minor"/>
          </rPr>
          <t>======
ID#AAABDq5TrPk
YULIED.PENARANDA    (2023-11-09 13:07:34)
Nombre completo del indicador. Expresión verbal, precisa y concreta del patrón de evaluación.</t>
        </r>
      </text>
    </comment>
    <comment ref="C920" authorId="0" shapeId="0" xr:uid="{00000000-0006-0000-0400-00006F000000}">
      <text>
        <r>
          <rPr>
            <sz val="11"/>
            <color theme="1"/>
            <rFont val="Calibri"/>
            <family val="2"/>
            <scheme val="minor"/>
          </rPr>
          <t>======
ID#AAABDq5Tqzs
YULIED.PENARANDA    (2023-11-09 13:07:34)
Unidad del indicador, define las características de la magnitud a realizar seguimiento. Eje: Hectáreas, estrategias, modelos, número etc.</t>
        </r>
      </text>
    </comment>
    <comment ref="D920" authorId="0" shapeId="0" xr:uid="{00000000-0006-0000-0400-000070000000}">
      <text>
        <r>
          <rPr>
            <sz val="11"/>
            <color theme="1"/>
            <rFont val="Calibri"/>
            <family val="2"/>
            <scheme val="minor"/>
          </rPr>
          <t>======
ID#AAABDq5TrO8
YULIED.PENARANDA    (2023-11-09 13:07:34)
Peso porcentual de acuerdo con la distribución de los indicadores de gestión.</t>
        </r>
      </text>
    </comment>
    <comment ref="H920" authorId="0" shapeId="0" xr:uid="{00000000-0006-0000-0400-000071000000}">
      <text>
        <r>
          <rPr>
            <sz val="11"/>
            <color theme="1"/>
            <rFont val="Calibri"/>
            <family val="2"/>
            <scheme val="minor"/>
          </rPr>
          <t>======
ID#AAABDq5TrXs
YULIED.PENARANDA    (2023-11-09 13:07:34)
Descripción concreta del avance, máximo de caracteres 200</t>
        </r>
      </text>
    </comment>
    <comment ref="A977" authorId="0" shapeId="0" xr:uid="{00000000-0006-0000-0400-000072000000}">
      <text>
        <r>
          <rPr>
            <sz val="11"/>
            <color theme="1"/>
            <rFont val="Calibri"/>
            <family val="2"/>
            <scheme val="minor"/>
          </rPr>
          <t>======
ID#AAABDq5Trss
YULIED.PENARANDA    (2023-11-09 13:07:34)
Avance indicadores de gestión.
NOTA: Desagregar cuadro cuantas veces tenga indicadores asociados</t>
        </r>
      </text>
    </comment>
    <comment ref="A978" authorId="0" shapeId="0" xr:uid="{00000000-0006-0000-0400-000073000000}">
      <text>
        <r>
          <rPr>
            <sz val="11"/>
            <color theme="1"/>
            <rFont val="Calibri"/>
            <family val="2"/>
            <scheme val="minor"/>
          </rPr>
          <t>======
ID#AAABDq5Tq2M
YULIED.PENARANDA    (2023-11-09 13:07:34)
Vigencia a reportar</t>
        </r>
      </text>
    </comment>
    <comment ref="B978" authorId="0" shapeId="0" xr:uid="{00000000-0006-0000-0400-000074000000}">
      <text>
        <r>
          <rPr>
            <sz val="11"/>
            <color theme="1"/>
            <rFont val="Calibri"/>
            <family val="2"/>
            <scheme val="minor"/>
          </rPr>
          <t>======
ID#AAABDq5TrwI
YULIED.PENARANDA    (2023-11-09 13:07:33)
Nombre completo del indicador. Expresión verbal, precisa y concreta del patrón de evaluación.</t>
        </r>
      </text>
    </comment>
    <comment ref="C978" authorId="0" shapeId="0" xr:uid="{00000000-0006-0000-0400-000075000000}">
      <text>
        <r>
          <rPr>
            <sz val="11"/>
            <color theme="1"/>
            <rFont val="Calibri"/>
            <family val="2"/>
            <scheme val="minor"/>
          </rPr>
          <t>======
ID#AAABDq5TrqM
YULIED.PENARANDA    (2023-11-09 13:07:34)
Unidad del indicador, define las características de la magnitud a realizar seguimiento. Eje: Hectáreas, estrategias, modelos, número etc.</t>
        </r>
      </text>
    </comment>
    <comment ref="D978" authorId="0" shapeId="0" xr:uid="{00000000-0006-0000-0400-000076000000}">
      <text>
        <r>
          <rPr>
            <sz val="11"/>
            <color theme="1"/>
            <rFont val="Calibri"/>
            <family val="2"/>
            <scheme val="minor"/>
          </rPr>
          <t>======
ID#AAABDq5TqwU
YULIED.PENARANDA    (2023-11-09 13:07:34)
Peso porcentual de acuerdo con la distribución de los indicadores de gestión.</t>
        </r>
      </text>
    </comment>
    <comment ref="H978" authorId="0" shapeId="0" xr:uid="{00000000-0006-0000-0400-000077000000}">
      <text>
        <r>
          <rPr>
            <sz val="11"/>
            <color theme="1"/>
            <rFont val="Calibri"/>
            <family val="2"/>
            <scheme val="minor"/>
          </rPr>
          <t>======
ID#AAABDq5TrMQ
YULIED.PENARANDA    (2023-11-09 13:07:34)
Descripción concreta del avance, máximo de caracteres 200</t>
        </r>
      </text>
    </comment>
    <comment ref="A1039" authorId="0" shapeId="0" xr:uid="{00000000-0006-0000-0400-000078000000}">
      <text>
        <r>
          <rPr>
            <sz val="11"/>
            <color theme="1"/>
            <rFont val="Calibri"/>
            <family val="2"/>
            <scheme val="minor"/>
          </rPr>
          <t>======
ID#AAABDq5TrF8
YULIED.PENARANDA    (2023-11-09 13:07:34)
Avance indicadores de gestión.
NOTA: Desagregar cuadro cuantas veces tenga indicadores asociados</t>
        </r>
      </text>
    </comment>
    <comment ref="A1040" authorId="0" shapeId="0" xr:uid="{00000000-0006-0000-0400-000079000000}">
      <text>
        <r>
          <rPr>
            <sz val="11"/>
            <color theme="1"/>
            <rFont val="Calibri"/>
            <family val="2"/>
            <scheme val="minor"/>
          </rPr>
          <t>======
ID#AAABDq5TrUY
YULIED.PENARANDA    (2023-11-09 13:07:33)
Vigencia a reportar</t>
        </r>
      </text>
    </comment>
    <comment ref="B1040" authorId="0" shapeId="0" xr:uid="{00000000-0006-0000-0400-00007A000000}">
      <text>
        <r>
          <rPr>
            <sz val="11"/>
            <color theme="1"/>
            <rFont val="Calibri"/>
            <family val="2"/>
            <scheme val="minor"/>
          </rPr>
          <t>======
ID#AAABDq5Tqw0
YULIED.PENARANDA    (2023-11-09 13:07:34)
Nombre completo del indicador. Expresión verbal, precisa y concreta del patrón de evaluación.</t>
        </r>
      </text>
    </comment>
    <comment ref="C1040" authorId="0" shapeId="0" xr:uid="{00000000-0006-0000-0400-00007B000000}">
      <text>
        <r>
          <rPr>
            <sz val="11"/>
            <color theme="1"/>
            <rFont val="Calibri"/>
            <family val="2"/>
            <scheme val="minor"/>
          </rPr>
          <t>======
ID#AAABDq5TrSs
YULIED.PENARANDA    (2023-11-09 13:07:34)
Unidad del indicador, define las características de la magnitud a realizar seguimiento. Eje: Hectáreas, estrategias, modelos, número etc.</t>
        </r>
      </text>
    </comment>
    <comment ref="D1040" authorId="0" shapeId="0" xr:uid="{00000000-0006-0000-0400-00007C000000}">
      <text>
        <r>
          <rPr>
            <sz val="11"/>
            <color theme="1"/>
            <rFont val="Calibri"/>
            <family val="2"/>
            <scheme val="minor"/>
          </rPr>
          <t>======
ID#AAABDq5Trno
YULIED.PENARANDA    (2023-11-09 13:07:34)
Peso porcentual de acuerdo con la distribución de los indicadores de gestión.</t>
        </r>
      </text>
    </comment>
    <comment ref="H1040" authorId="0" shapeId="0" xr:uid="{00000000-0006-0000-0400-00007D000000}">
      <text>
        <r>
          <rPr>
            <sz val="11"/>
            <color theme="1"/>
            <rFont val="Calibri"/>
            <family val="2"/>
            <scheme val="minor"/>
          </rPr>
          <t>======
ID#AAABDq5TrZ0
YULIED.PENARANDA    (2023-11-09 13:07:34)
Descripción concreta del avance, máximo de caracteres 200</t>
        </r>
      </text>
    </comment>
  </commentList>
  <extLst>
    <ext xmlns:r="http://schemas.openxmlformats.org/officeDocument/2006/relationships" uri="GoogleSheetsCustomDataVersion2">
      <go:sheetsCustomData xmlns:go="http://customooxmlschemas.google.com/" r:id="rId1" roundtripDataSignature="AMtx7mj1SycUjes/yJlto+lasIwK3m07Dg=="/>
    </ext>
  </extLst>
</comments>
</file>

<file path=xl/sharedStrings.xml><?xml version="1.0" encoding="utf-8"?>
<sst xmlns="http://schemas.openxmlformats.org/spreadsheetml/2006/main" count="6251" uniqueCount="1373">
  <si>
    <t>DIRECCIONAMIENTO ESTRATÉGICO</t>
  </si>
  <si>
    <t>Formato: Programación, Actualización y Seguimiento del Plan de Acción -  Componente de gestión</t>
  </si>
  <si>
    <t>Código: PE01-PR02-F2</t>
  </si>
  <si>
    <t xml:space="preserve"> Versión : 14</t>
  </si>
  <si>
    <t>DEPENDENCIA:</t>
  </si>
  <si>
    <t>CÓDIGO Y NOMBRE PROYECTO:</t>
  </si>
  <si>
    <t>Proyecto 7794 - Fortalecimiento de la gestión ambiental sectorial, el ecourbanismo y cambio climático en el D.C.</t>
  </si>
  <si>
    <t>Propósito Plan de Desarrollo</t>
  </si>
  <si>
    <t>Propósito 02: Cambiar nuestros hábitos de vida para reverdecer a Bogotá y adaptarnos y mitigar la crisis climática</t>
  </si>
  <si>
    <t>Programa Plan de Desarrollo</t>
  </si>
  <si>
    <t>Programa Cambio Cultural para la gestión de la crisis climática</t>
  </si>
  <si>
    <t>1. ESTRUCTURA DEL PLAN DE DESARROLLO</t>
  </si>
  <si>
    <t>2. PROGRAMACIÓN Y EJECUCIÓN</t>
  </si>
  <si>
    <t>3, % CUMPLIMIENTO 
(En el periodo)</t>
  </si>
  <si>
    <t>4, % CUMPLIMIENTO ACUMULADO (al periodo)</t>
  </si>
  <si>
    <t>5, % CUMPLIMIENTO ACUMULADO (Vigencia) SEGPLAN</t>
  </si>
  <si>
    <r>
      <rPr>
        <b/>
        <sz val="14"/>
        <color theme="1"/>
        <rFont val="Arial"/>
        <family val="2"/>
      </rPr>
      <t xml:space="preserve">6, % CUMPLIMIENTO ACUMULADO (al periodo) </t>
    </r>
    <r>
      <rPr>
        <b/>
        <sz val="16"/>
        <color theme="1"/>
        <rFont val="Arial"/>
        <family val="2"/>
      </rPr>
      <t>cuatrienio</t>
    </r>
  </si>
  <si>
    <t>7 ,% DE AVANCE CUATRIENIO</t>
  </si>
  <si>
    <t>8, DESCRIPCIÓN DE LOS AVANCES Y LOGROS ALCANZADOS</t>
  </si>
  <si>
    <t xml:space="preserve">9, RETRASOS 
</t>
  </si>
  <si>
    <t xml:space="preserve">10, SOLUCIONES PLANTEADAS </t>
  </si>
  <si>
    <t>11,  BENEFICIOS O RESULTADOS A LA POBLACIÓN</t>
  </si>
  <si>
    <t>12, FUENTE DE EVIDENCIAS</t>
  </si>
  <si>
    <t>1.1. META PLAN DE DESARROLLO</t>
  </si>
  <si>
    <t>AÑO 2020</t>
  </si>
  <si>
    <t>AÑO 2021</t>
  </si>
  <si>
    <t>AÑO 2022</t>
  </si>
  <si>
    <t>AÑO 2023</t>
  </si>
  <si>
    <t>AÑO 2024</t>
  </si>
  <si>
    <t>1.1.1. Propósito</t>
  </si>
  <si>
    <t>1.1.2. Programa</t>
  </si>
  <si>
    <t>1.1.3. COD.</t>
  </si>
  <si>
    <t>1.1.4.  META PLAN DE DESARROLLO</t>
  </si>
  <si>
    <t>1.1.5. COD.</t>
  </si>
  <si>
    <t>1.1.6. INDICADOR</t>
  </si>
  <si>
    <t>1.1.7.UNIDAD DE MEDIDA</t>
  </si>
  <si>
    <t>1.1.8. TIPOLOGÍA</t>
  </si>
  <si>
    <t>1.1.9. MAGNITUD PD</t>
  </si>
  <si>
    <r>
      <rPr>
        <sz val="12"/>
        <color theme="1"/>
        <rFont val="Arial"/>
        <family val="2"/>
      </rPr>
      <t xml:space="preserve">REPROGRAMACIÓN </t>
    </r>
    <r>
      <rPr>
        <b/>
        <sz val="12"/>
        <color theme="1"/>
        <rFont val="Arial"/>
        <family val="2"/>
      </rPr>
      <t>VIGENCIA 
(VALOR INICIAL)</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</si>
  <si>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</si>
  <si>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</si>
  <si>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</si>
  <si>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</si>
  <si>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</si>
  <si>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</si>
  <si>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</si>
  <si>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</si>
  <si>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</si>
  <si>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</si>
  <si>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</si>
  <si>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</si>
  <si>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</si>
  <si>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</si>
  <si>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PROGRAMADO VALOR ABSOLUTO VIGENCIA</t>
  </si>
  <si>
    <t>PROGRAMADO ACUMULADO AL PERIODO
AÑO 2020</t>
  </si>
  <si>
    <t>EJECUTADO ACUMUALDO AL PERIODO
 AÑO 2020</t>
  </si>
  <si>
    <t>PROGRAMADO ACUMULADO SEGPLAN
AÑO 2020</t>
  </si>
  <si>
    <t>EJECUTADO ACUMUALDO  SEGPLAN
 AÑO 2020</t>
  </si>
  <si>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</si>
  <si>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</si>
  <si>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</si>
  <si>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</si>
  <si>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</si>
  <si>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</si>
  <si>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</si>
  <si>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</si>
  <si>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</si>
  <si>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</si>
  <si>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</si>
  <si>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</si>
  <si>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</si>
  <si>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</si>
  <si>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</si>
  <si>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</si>
  <si>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</si>
  <si>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</si>
  <si>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</si>
  <si>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</si>
  <si>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</si>
  <si>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</si>
  <si>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</si>
  <si>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</si>
  <si>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</si>
  <si>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PROGRAMADO ACUMULADO AL PERIODO
AÑO 2021</t>
  </si>
  <si>
    <t>EJECUTADO ACUMUALDO AL PERIODO
 AÑO 2021</t>
  </si>
  <si>
    <t>PROGRAMADO ACUMULADO SEGPLAN
AÑO 2021</t>
  </si>
  <si>
    <t>EJECUTADO ACUMUALDO  SEGPLAN
 AÑO 2021</t>
  </si>
  <si>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</si>
  <si>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</si>
  <si>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</si>
  <si>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</si>
  <si>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</si>
  <si>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</si>
  <si>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</si>
  <si>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</si>
  <si>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</si>
  <si>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</si>
  <si>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</si>
  <si>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</si>
  <si>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</si>
  <si>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</si>
  <si>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</si>
  <si>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</si>
  <si>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</si>
  <si>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</si>
  <si>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</si>
  <si>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</si>
  <si>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</si>
  <si>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</si>
  <si>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</si>
  <si>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</si>
  <si>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</si>
  <si>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PROGRAMADO ACUMULADO AL PERIODO
AÑO 2022</t>
  </si>
  <si>
    <t>EJECUTADO ACUMUALDO AL PERIODO
 AÑO 2022</t>
  </si>
  <si>
    <t>PROGRAMADO ACUMULADO SEGPLAN
AÑO 2022</t>
  </si>
  <si>
    <t>EJECUTADO ACUMUALDO  SEGPLAN
 AÑO 2022</t>
  </si>
  <si>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</si>
  <si>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</si>
  <si>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</si>
  <si>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</si>
  <si>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</si>
  <si>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</si>
  <si>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</si>
  <si>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</si>
  <si>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</si>
  <si>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</si>
  <si>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</si>
  <si>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</si>
  <si>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</si>
  <si>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</si>
  <si>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</si>
  <si>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</si>
  <si>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</si>
  <si>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</si>
  <si>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</si>
  <si>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</si>
  <si>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</si>
  <si>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</si>
  <si>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</si>
  <si>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</si>
  <si>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</si>
  <si>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PROGRAMADO ACUMULADO AL PERIODO
AÑO 2023</t>
  </si>
  <si>
    <t>EJECUTADO ACUMUALDO AL PERIODO
 AÑO 2023</t>
  </si>
  <si>
    <t>PROGRAMADO ACUMULADO SEGPLAN
AÑO 2023</t>
  </si>
  <si>
    <t>EJECUTADO ACUMUALDO  SEGPLAN
 AÑO 2023</t>
  </si>
  <si>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</si>
  <si>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</si>
  <si>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</si>
  <si>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</si>
  <si>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</si>
  <si>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</si>
  <si>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</si>
  <si>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</si>
  <si>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</si>
  <si>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</si>
  <si>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</si>
  <si>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</si>
  <si>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</si>
  <si>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</si>
  <si>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</si>
  <si>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</si>
  <si>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</si>
  <si>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</si>
  <si>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</si>
  <si>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</si>
  <si>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</si>
  <si>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</si>
  <si>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</si>
  <si>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</si>
  <si>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</si>
  <si>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PROGRAMADO ACUMULADO AL PERIODO
AÑO 2024</t>
  </si>
  <si>
    <t>EJECUTADO ACUMUALDO AL PERIODO
 AÑO 2024</t>
  </si>
  <si>
    <t>PROGRAMADO ACUMULADO SEGPLAN
AÑO 2024</t>
  </si>
  <si>
    <t>EJECUTADO ACUMUALDO  SEGPLAN
 AÑO 2024</t>
  </si>
  <si>
    <t>Articular e implementar el Plan de Acción Climática Bogotá D.C. 2020-2050 incluyendo la gestión necesaria para lograr una reducción de por lo menos 15% en la emisión de gases de efecto invernadero de Bogotá para 2024, incluyendo herramientas como la participación de la ciudad en los mercados de carbono.</t>
  </si>
  <si>
    <t>Número de estrategias consolidadas e implementadas</t>
  </si>
  <si>
    <t>Número</t>
  </si>
  <si>
    <t>SUMA</t>
  </si>
  <si>
    <t>N/A</t>
  </si>
  <si>
    <t>La ciudad cuenta con un Plan de Acción Climática con horizonte a 2050 que plantea acciones de mitigación y de adaptación al cambio climático, a fin de enfrentar, de la mejor manera, sus efectos y favorecer la resiliencia.</t>
  </si>
  <si>
    <t>Presentaciones y actas de reuniones, documentos técnicos, informes de convenios y contratos, reportes de emergencias respondidas por la entidad, informes de seguimiento y de evaluación del PACA, informes de gestión, reportes de seguimiento.</t>
  </si>
  <si>
    <t>Implementar una (1) Estrategia Distrital de Crecimiento Verde con enfoque de sostenibilidad ambiental e innovación que impulse la eficiencia energética, las fuentes no convencionales de energías renovables y la economía circular de manera articulada con los grandes y pequeños generadores y consumidores y que incorpore un sistema de
monitoreo para medir la transición hacia un crecimiento verde y el cumplimiento de los ODS</t>
  </si>
  <si>
    <t>Numero de estrategias distritales de crecimiento verde implementadas</t>
  </si>
  <si>
    <t>La implementación de una Estrategia Distrital de Crecimiento Verde permitirá realizar acciones que incentiven la competitividad en el sector empresarial con la sostenibilidad en el uso de los recursos, menor generación en impactos ambientales y con la promoción de nuevas oportunidades de negocios basados en el aprovechamiento sostenible del capital natural.</t>
  </si>
  <si>
    <t>Archivo de gestión SEGAE.</t>
  </si>
  <si>
    <t>Realizar la gestión y seguimiento a la aplicación de los  determinantes ambientales en 1.000 proyectos de ciudad tomando en cuenta medidas de adaptación y mitigación a la crisis climática.</t>
  </si>
  <si>
    <t>Número de proyectos de ciudad con gestión para la incorporación de determinantes ambientales con medidas de mitigación y adaptación al cambio climático.</t>
  </si>
  <si>
    <t>Numero</t>
  </si>
  <si>
    <t>El acumulado ejecutado durante el plan de desarrollo corresponde a quinientos catorce (514) proyectos con gestión para la incorporación de determinantes ambientales con medidas de mitigación y adaptación al cambio climático, de los cuales (66) fueron atendidos en la vigencia 2020, (113) en la vigencia 2021, (150) en la vigencia 2022 y los restantes (185) en la actual vigencia así: (5 en enero, 17 en febrero, 18 en marzo, 17 en abril, 18 en mayo, 18 en junio, 18 en julio, 18 en agosto,  18 en septiembre, 18 en octubre, 10 en noviembre y 10 en diciembre). Los proyectos a los cuales se les ha incorporado criterios de sostenibilidad corresponden a: (14) actuaciones estratégicas, (18) Planes Parciales de Desarrollo, (26) Planes Parciales de Renovación Urbana, (56) Proyectos de Legalización y Regularización de Barrios, (15) Planes de Implantación,  (06) Planes de Regularización y Manejo, (07) Planes Directores para parques, (02) Planes de Manejo de Humedales, (280) Diseños paisajísticos de parques y zonas verdes, (35) proyectos de compatibilidad de uso de vivienda en suelo restringido, (04) Balances de zonas verdes, (02) Patios zonales para el Sistema Integrado de Transporte Publico – SITP, (03) proyectos con Acciones de mitigación de impactos ambientales uso dotacional, comercio y servicios,  (02) proyectos de segmentos viales, (02) lineamientos para Ecobarrios, (01) aislamiento de proyecto de construcción, (10) proyectos Bogotá Construcción Sostenible y (31) proyectos de infraestructura especial como colegios y aulas ambientales, tramos viales en intervenciones en áreas verdes y Zonas de Manejo y Preservación Ambiental y vallados.</t>
  </si>
  <si>
    <t>La aplicación y seguimiento de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</si>
  <si>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Oficios FOREST, Actas, Archivo de Gestión SEGAE.</t>
  </si>
  <si>
    <t>Numero de proyectos de ciudad con seguimiento de la aplicación de los determinantes ambientales</t>
  </si>
  <si>
    <t>El acumulado ejecutado a la vigencia 2023 corresponde a 344 proyectos de ciudad con seguimiento de la aplicación de los determinantes ambientales, de los cuales (20) fueron verificados en la vigencia 2020, (78) verificados en la vigencia 2021, (109) han sido verificados en la vigencia 2022 y (137) han sido verificados en la vigencia 2023. Los proyectos a los cuales se les ha verificado la incorporación de sus determinantes ambientales corresponden a: (33) Planes Directores de Parques de la Ciudad, (05) Planes de Implantación, (303) Diseños paisajísticos de parques y zonas verdes, (3) Plan de Regularización y Manejo.
Durante la vigencia 2023, se ha verificado la incorporación de determinantes ambientales a ciento treinta y siete (137) proyectos de infraestructura en el espacio público y privado; (135) corresponden a diseños paisajísticos de parques y zonas verdes y (2) son Planes de Implantación.
En el mes de diciembre se verificaron 10 proyectos de los cuales se han desarrollado en las siguientes localidades: (01) Fontibón, (03) Suba, (03) Engativá, (01) Bosa, (01) Teusaquillo y (01) Rafael Uribe.</t>
  </si>
  <si>
    <t>La Secretaría Distrital de Ambiente ha  incorporando criterios de ecourbanismo y construcción sostenible en proyectos urbanos y arquitectónicos en la Ciudad, por lo cual es necesario realizar la verificación en la incorporación de los lineamientos y determinantes ambientales de ecourbanismo y construcción sostenible a proyectos de infraestructura que actualmente están en operación, evaluando su aporte a las políticas nacionales y distritales que rigen en esta materia y su aporte a la gestión de la crisis climática; así mismo, esta verificación permitirá conocer las dificultades por parte del sector construcción en la incorporación de estos criterios, permitiendo que desde la administración distrital genere estrategias para promover y fortalecer la construcción sostenible en la Ciudad.</t>
  </si>
  <si>
    <t>Reverdecer 20.000 m2 en la ciudad a través del fortalecimiento de la infraestructura vegetada</t>
  </si>
  <si>
    <t>M2 reverdecidos en la ciudad a través del fortalecimiento de la infraestructura vegetada (techos verdes y jardines verticales con acompañamiento técnico)</t>
  </si>
  <si>
    <t>M2</t>
  </si>
  <si>
    <t>El acompañamiento técnico a techos verdes y jardines verticales, promueve la conservación y mejoramiento de estas estructuras, las cuales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</si>
  <si>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</si>
  <si>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CONTROL DE CAMBIOS</t>
  </si>
  <si>
    <t>Versión</t>
  </si>
  <si>
    <t xml:space="preserve">Descripción de la Modificación </t>
  </si>
  <si>
    <t>No. Acto Administrativo y fecha</t>
  </si>
  <si>
    <t>Se crea  hoja de SPI</t>
  </si>
  <si>
    <t>Radicado 2020IE191541 del 29 de octubre de 2020</t>
  </si>
  <si>
    <t>Se incluyen   columnas con nuevos patrones de medición en los imponentes de Gestión e Inversión</t>
  </si>
  <si>
    <t>Radicado No. 2021IE106063 del 31 de mayo del 2021.</t>
  </si>
  <si>
    <t>Formato: Programación, Actualización y Seguimiento del Plan de Acción -Componente de Inversión</t>
  </si>
  <si>
    <t>Versión : 14</t>
  </si>
  <si>
    <t>SUBDIRECCION DE ECOURBANISMO Y GESTIÓN AMBIENTAL EMPRESARIAL</t>
  </si>
  <si>
    <t xml:space="preserve"> </t>
  </si>
  <si>
    <t>1,  INFORMACIÓN META DE PROYECTO</t>
  </si>
  <si>
    <t>2, PROGRAMACIÓN Y EJECUCIÓN</t>
  </si>
  <si>
    <t>6, % CUMPLIMIENTO ACUMULADO (al periodo)DEL CUATRIENIO</t>
  </si>
  <si>
    <t>8.  DESCRIPCIÓN DE LOS AVANCES Y LOGROS ALCANZADOS A OCTUBRE 31 DE 2023</t>
  </si>
  <si>
    <t xml:space="preserve">9. RETRASOS 
</t>
  </si>
  <si>
    <t xml:space="preserve">10. SOLUCIONES PLANTEADAS </t>
  </si>
  <si>
    <t>11.  BENEFICIOS</t>
  </si>
  <si>
    <t>12.  FUENTE DE EVIDENCIAS</t>
  </si>
  <si>
    <t xml:space="preserve"> AÑO 2020</t>
  </si>
  <si>
    <t xml:space="preserve"> AÑO 2021</t>
  </si>
  <si>
    <t>1,1 LÍNEA DE ACCIÓN</t>
  </si>
  <si>
    <t>1,2 COD.</t>
  </si>
  <si>
    <t>1,3 META</t>
  </si>
  <si>
    <t>1,4 TIPOLOGÍA</t>
  </si>
  <si>
    <t>1,5 COD. META PDD A QUE SE ASOCIA META PROY</t>
  </si>
  <si>
    <t>1,6, VARIABLE REQUERIDA</t>
  </si>
  <si>
    <t>1,7, VALOR   CUATRIENIO</t>
  </si>
  <si>
    <r>
      <rPr>
        <sz val="12"/>
        <color theme="1"/>
        <rFont val="Arial"/>
        <family val="2"/>
      </rPr>
      <t xml:space="preserve">REPROGRAMACIÓN </t>
    </r>
    <r>
      <rPr>
        <b/>
        <sz val="12"/>
        <color theme="1"/>
        <rFont val="Arial"/>
        <family val="2"/>
      </rPr>
      <t>VIGENCIA 
(VALOR INICIAL)</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</si>
  <si>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</si>
  <si>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</si>
  <si>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</si>
  <si>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</si>
  <si>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</si>
  <si>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</si>
  <si>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</si>
  <si>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</si>
  <si>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</si>
  <si>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</si>
  <si>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</si>
  <si>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</si>
  <si>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</si>
  <si>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</si>
  <si>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</si>
  <si>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</si>
  <si>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</si>
  <si>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</si>
  <si>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</si>
  <si>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</si>
  <si>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</si>
  <si>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</si>
  <si>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</si>
  <si>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</si>
  <si>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</si>
  <si>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</si>
  <si>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</si>
  <si>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</si>
  <si>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</si>
  <si>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</si>
  <si>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</si>
  <si>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</si>
  <si>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</si>
  <si>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</si>
  <si>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</si>
  <si>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</si>
  <si>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</si>
  <si>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</si>
  <si>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</si>
  <si>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r>
      <rPr>
        <sz val="12"/>
        <color theme="1"/>
        <rFont val="Arial"/>
        <family val="2"/>
      </rPr>
      <t xml:space="preserve">REPROGRAMACIÓN </t>
    </r>
    <r>
      <rPr>
        <b/>
        <sz val="12"/>
        <color theme="1"/>
        <rFont val="Arial"/>
        <family val="2"/>
      </rPr>
      <t>VIGENCIA 
(VALOR INICIAL)</t>
    </r>
  </si>
  <si>
    <r>
      <rPr>
        <sz val="14"/>
        <color theme="1"/>
        <rFont val="Arial"/>
        <family val="2"/>
      </rPr>
      <t xml:space="preserve">PROGRAMADO </t>
    </r>
    <r>
      <rPr>
        <b/>
        <sz val="14"/>
        <color theme="1"/>
        <rFont val="Arial"/>
        <family val="2"/>
      </rPr>
      <t>ENE.</t>
    </r>
  </si>
  <si>
    <r>
      <rPr>
        <sz val="14"/>
        <color theme="1"/>
        <rFont val="Arial"/>
        <family val="2"/>
      </rPr>
      <t xml:space="preserve">EJECUTADO </t>
    </r>
    <r>
      <rPr>
        <b/>
        <sz val="14"/>
        <color theme="1"/>
        <rFont val="Arial"/>
        <family val="2"/>
      </rPr>
      <t>ENE.</t>
    </r>
  </si>
  <si>
    <r>
      <rPr>
        <sz val="14"/>
        <color theme="1"/>
        <rFont val="Arial"/>
        <family val="2"/>
      </rPr>
      <t>PROGRAMADO</t>
    </r>
    <r>
      <rPr>
        <b/>
        <sz val="14"/>
        <color theme="1"/>
        <rFont val="Arial"/>
        <family val="2"/>
      </rPr>
      <t xml:space="preserve"> FEB.</t>
    </r>
  </si>
  <si>
    <r>
      <rPr>
        <sz val="14"/>
        <color theme="1"/>
        <rFont val="Arial"/>
        <family val="2"/>
      </rPr>
      <t xml:space="preserve">EJECUTADO </t>
    </r>
    <r>
      <rPr>
        <b/>
        <sz val="14"/>
        <color theme="1"/>
        <rFont val="Arial"/>
        <family val="2"/>
      </rPr>
      <t>FEB.</t>
    </r>
  </si>
  <si>
    <r>
      <rPr>
        <sz val="14"/>
        <color theme="1"/>
        <rFont val="Arial"/>
        <family val="2"/>
      </rPr>
      <t xml:space="preserve">PROGRAMADO </t>
    </r>
    <r>
      <rPr>
        <b/>
        <sz val="14"/>
        <color theme="1"/>
        <rFont val="Arial"/>
        <family val="2"/>
      </rPr>
      <t>MAR.</t>
    </r>
  </si>
  <si>
    <r>
      <rPr>
        <sz val="14"/>
        <color theme="1"/>
        <rFont val="Arial"/>
        <family val="2"/>
      </rPr>
      <t xml:space="preserve">EJECUTADO </t>
    </r>
    <r>
      <rPr>
        <b/>
        <sz val="14"/>
        <color theme="1"/>
        <rFont val="Arial"/>
        <family val="2"/>
      </rPr>
      <t>MAR.</t>
    </r>
  </si>
  <si>
    <r>
      <rPr>
        <sz val="14"/>
        <color theme="1"/>
        <rFont val="Arial"/>
        <family val="2"/>
      </rPr>
      <t>PROGRAMADO</t>
    </r>
    <r>
      <rPr>
        <b/>
        <sz val="14"/>
        <color theme="1"/>
        <rFont val="Arial"/>
        <family val="2"/>
      </rPr>
      <t xml:space="preserve"> ABR.</t>
    </r>
  </si>
  <si>
    <r>
      <rPr>
        <sz val="14"/>
        <color theme="1"/>
        <rFont val="Arial"/>
        <family val="2"/>
      </rPr>
      <t xml:space="preserve">EJECUTADO </t>
    </r>
    <r>
      <rPr>
        <b/>
        <sz val="14"/>
        <color theme="1"/>
        <rFont val="Arial"/>
        <family val="2"/>
      </rPr>
      <t>ABR.</t>
    </r>
  </si>
  <si>
    <r>
      <rPr>
        <sz val="14"/>
        <color theme="1"/>
        <rFont val="Arial"/>
        <family val="2"/>
      </rPr>
      <t xml:space="preserve">PROGRAMADO </t>
    </r>
    <r>
      <rPr>
        <b/>
        <sz val="14"/>
        <color theme="1"/>
        <rFont val="Arial"/>
        <family val="2"/>
      </rPr>
      <t>MAY.</t>
    </r>
  </si>
  <si>
    <r>
      <rPr>
        <sz val="14"/>
        <color theme="1"/>
        <rFont val="Arial"/>
        <family val="2"/>
      </rPr>
      <t xml:space="preserve">EJECUTADO  </t>
    </r>
    <r>
      <rPr>
        <b/>
        <sz val="14"/>
        <color theme="1"/>
        <rFont val="Arial"/>
        <family val="2"/>
      </rPr>
      <t>MAY.</t>
    </r>
  </si>
  <si>
    <r>
      <rPr>
        <sz val="14"/>
        <color theme="1"/>
        <rFont val="Arial"/>
        <family val="2"/>
      </rPr>
      <t>PROGRAMADO</t>
    </r>
    <r>
      <rPr>
        <b/>
        <sz val="14"/>
        <color theme="1"/>
        <rFont val="Arial"/>
        <family val="2"/>
      </rPr>
      <t xml:space="preserve"> JUN.</t>
    </r>
  </si>
  <si>
    <r>
      <rPr>
        <sz val="14"/>
        <color theme="1"/>
        <rFont val="Arial"/>
        <family val="2"/>
      </rPr>
      <t xml:space="preserve">EJECUTADO </t>
    </r>
    <r>
      <rPr>
        <b/>
        <sz val="14"/>
        <color theme="1"/>
        <rFont val="Arial"/>
        <family val="2"/>
      </rPr>
      <t>JUN.</t>
    </r>
  </si>
  <si>
    <r>
      <rPr>
        <sz val="14"/>
        <color theme="1"/>
        <rFont val="Arial"/>
        <family val="2"/>
      </rPr>
      <t>PROGRAMADO</t>
    </r>
    <r>
      <rPr>
        <b/>
        <sz val="14"/>
        <color theme="1"/>
        <rFont val="Arial"/>
        <family val="2"/>
      </rPr>
      <t xml:space="preserve"> JUL.</t>
    </r>
  </si>
  <si>
    <r>
      <rPr>
        <sz val="14"/>
        <color theme="1"/>
        <rFont val="Arial"/>
        <family val="2"/>
      </rPr>
      <t xml:space="preserve">EJECUTADO  </t>
    </r>
    <r>
      <rPr>
        <b/>
        <sz val="14"/>
        <color theme="1"/>
        <rFont val="Arial"/>
        <family val="2"/>
      </rPr>
      <t>JUL.</t>
    </r>
  </si>
  <si>
    <r>
      <rPr>
        <sz val="14"/>
        <color theme="1"/>
        <rFont val="Arial"/>
        <family val="2"/>
      </rPr>
      <t xml:space="preserve">PROGRAMADO </t>
    </r>
    <r>
      <rPr>
        <b/>
        <sz val="14"/>
        <color theme="1"/>
        <rFont val="Arial"/>
        <family val="2"/>
      </rPr>
      <t>AGO.</t>
    </r>
  </si>
  <si>
    <r>
      <rPr>
        <sz val="14"/>
        <color theme="1"/>
        <rFont val="Arial"/>
        <family val="2"/>
      </rPr>
      <t xml:space="preserve">EJECUTADO  </t>
    </r>
    <r>
      <rPr>
        <b/>
        <sz val="14"/>
        <color theme="1"/>
        <rFont val="Arial"/>
        <family val="2"/>
      </rPr>
      <t>AGO.</t>
    </r>
  </si>
  <si>
    <r>
      <rPr>
        <sz val="14"/>
        <color theme="1"/>
        <rFont val="Arial"/>
        <family val="2"/>
      </rPr>
      <t xml:space="preserve">PROGRAMADO </t>
    </r>
    <r>
      <rPr>
        <b/>
        <sz val="14"/>
        <color theme="1"/>
        <rFont val="Arial"/>
        <family val="2"/>
      </rPr>
      <t>SEP.</t>
    </r>
  </si>
  <si>
    <r>
      <rPr>
        <sz val="14"/>
        <color theme="1"/>
        <rFont val="Arial"/>
        <family val="2"/>
      </rPr>
      <t xml:space="preserve">EJECUTADO  </t>
    </r>
    <r>
      <rPr>
        <b/>
        <sz val="14"/>
        <color theme="1"/>
        <rFont val="Arial"/>
        <family val="2"/>
      </rPr>
      <t>SEP</t>
    </r>
    <r>
      <rPr>
        <sz val="14"/>
        <color theme="1"/>
        <rFont val="Arial"/>
        <family val="2"/>
      </rPr>
      <t>.</t>
    </r>
  </si>
  <si>
    <r>
      <rPr>
        <sz val="14"/>
        <color theme="1"/>
        <rFont val="Arial"/>
        <family val="2"/>
      </rPr>
      <t>PROGRAMADO</t>
    </r>
    <r>
      <rPr>
        <b/>
        <sz val="14"/>
        <color theme="1"/>
        <rFont val="Arial"/>
        <family val="2"/>
      </rPr>
      <t xml:space="preserve"> OCT.</t>
    </r>
  </si>
  <si>
    <r>
      <rPr>
        <sz val="14"/>
        <color theme="1"/>
        <rFont val="Arial"/>
        <family val="2"/>
      </rPr>
      <t xml:space="preserve">EJECUTADO  </t>
    </r>
    <r>
      <rPr>
        <b/>
        <sz val="14"/>
        <color theme="1"/>
        <rFont val="Arial"/>
        <family val="2"/>
      </rPr>
      <t>OCT</t>
    </r>
    <r>
      <rPr>
        <sz val="14"/>
        <color theme="1"/>
        <rFont val="Arial"/>
        <family val="2"/>
      </rPr>
      <t>.</t>
    </r>
  </si>
  <si>
    <r>
      <rPr>
        <sz val="14"/>
        <color theme="1"/>
        <rFont val="Arial"/>
        <family val="2"/>
      </rPr>
      <t xml:space="preserve">PROGRAMADO </t>
    </r>
    <r>
      <rPr>
        <b/>
        <sz val="14"/>
        <color theme="1"/>
        <rFont val="Arial"/>
        <family val="2"/>
      </rPr>
      <t>NOV.</t>
    </r>
  </si>
  <si>
    <r>
      <rPr>
        <sz val="14"/>
        <color theme="1"/>
        <rFont val="Arial"/>
        <family val="2"/>
      </rPr>
      <t xml:space="preserve">EJECUTADO </t>
    </r>
    <r>
      <rPr>
        <b/>
        <sz val="14"/>
        <color theme="1"/>
        <rFont val="Arial"/>
        <family val="2"/>
      </rPr>
      <t>NOV.</t>
    </r>
  </si>
  <si>
    <r>
      <rPr>
        <sz val="14"/>
        <color theme="1"/>
        <rFont val="Arial"/>
        <family val="2"/>
      </rPr>
      <t xml:space="preserve">PROGRAMADO  </t>
    </r>
    <r>
      <rPr>
        <b/>
        <sz val="14"/>
        <color theme="1"/>
        <rFont val="Arial"/>
        <family val="2"/>
      </rPr>
      <t>DIC.</t>
    </r>
  </si>
  <si>
    <r>
      <rPr>
        <sz val="14"/>
        <color theme="1"/>
        <rFont val="Arial"/>
        <family val="2"/>
      </rPr>
      <t xml:space="preserve">EJECUTADO </t>
    </r>
    <r>
      <rPr>
        <b/>
        <sz val="14"/>
        <color theme="1"/>
        <rFont val="Arial"/>
        <family val="2"/>
      </rPr>
      <t>DIC.</t>
    </r>
  </si>
  <si>
    <r>
      <rPr>
        <sz val="12"/>
        <color theme="1"/>
        <rFont val="Arial"/>
        <family val="2"/>
      </rPr>
      <t xml:space="preserve">REPROGRAMACIÓN </t>
    </r>
    <r>
      <rPr>
        <b/>
        <sz val="12"/>
        <color theme="1"/>
        <rFont val="Arial"/>
        <family val="2"/>
      </rPr>
      <t>VIGENCIA 
(VALOR INICIAL)</t>
    </r>
  </si>
  <si>
    <r>
      <rPr>
        <sz val="14"/>
        <color theme="1"/>
        <rFont val="Arial"/>
        <family val="2"/>
      </rPr>
      <t xml:space="preserve">PROGRAMADO </t>
    </r>
    <r>
      <rPr>
        <b/>
        <sz val="14"/>
        <color theme="1"/>
        <rFont val="Arial"/>
        <family val="2"/>
      </rPr>
      <t>ENE.</t>
    </r>
  </si>
  <si>
    <r>
      <rPr>
        <sz val="14"/>
        <color theme="1"/>
        <rFont val="Arial"/>
        <family val="2"/>
      </rPr>
      <t xml:space="preserve">EJECUTADO </t>
    </r>
    <r>
      <rPr>
        <b/>
        <sz val="14"/>
        <color theme="1"/>
        <rFont val="Arial"/>
        <family val="2"/>
      </rPr>
      <t>ENE.</t>
    </r>
  </si>
  <si>
    <r>
      <rPr>
        <sz val="14"/>
        <color theme="1"/>
        <rFont val="Arial"/>
        <family val="2"/>
      </rPr>
      <t>PROGRAMADO</t>
    </r>
    <r>
      <rPr>
        <b/>
        <sz val="14"/>
        <color theme="1"/>
        <rFont val="Arial"/>
        <family val="2"/>
      </rPr>
      <t xml:space="preserve"> FEB.</t>
    </r>
  </si>
  <si>
    <r>
      <rPr>
        <sz val="14"/>
        <color theme="1"/>
        <rFont val="Arial"/>
        <family val="2"/>
      </rPr>
      <t xml:space="preserve">EJECUTADO </t>
    </r>
    <r>
      <rPr>
        <b/>
        <sz val="14"/>
        <color theme="1"/>
        <rFont val="Arial"/>
        <family val="2"/>
      </rPr>
      <t>FEB.</t>
    </r>
  </si>
  <si>
    <r>
      <rPr>
        <sz val="14"/>
        <color theme="1"/>
        <rFont val="Arial"/>
        <family val="2"/>
      </rPr>
      <t xml:space="preserve">PROGRAMADO </t>
    </r>
    <r>
      <rPr>
        <b/>
        <sz val="14"/>
        <color theme="1"/>
        <rFont val="Arial"/>
        <family val="2"/>
      </rPr>
      <t>MAR.</t>
    </r>
  </si>
  <si>
    <r>
      <rPr>
        <sz val="14"/>
        <color theme="1"/>
        <rFont val="Arial"/>
        <family val="2"/>
      </rPr>
      <t xml:space="preserve">EJECUTADO </t>
    </r>
    <r>
      <rPr>
        <b/>
        <sz val="14"/>
        <color theme="1"/>
        <rFont val="Arial"/>
        <family val="2"/>
      </rPr>
      <t>MAR.</t>
    </r>
  </si>
  <si>
    <r>
      <rPr>
        <sz val="14"/>
        <color theme="1"/>
        <rFont val="Arial"/>
        <family val="2"/>
      </rPr>
      <t xml:space="preserve">PROGRAMADO </t>
    </r>
    <r>
      <rPr>
        <b/>
        <sz val="14"/>
        <color theme="1"/>
        <rFont val="Arial"/>
        <family val="2"/>
      </rPr>
      <t>ABR.</t>
    </r>
  </si>
  <si>
    <r>
      <rPr>
        <sz val="14"/>
        <color theme="1"/>
        <rFont val="Arial"/>
        <family val="2"/>
      </rPr>
      <t xml:space="preserve">EJECUTADO </t>
    </r>
    <r>
      <rPr>
        <b/>
        <sz val="14"/>
        <color theme="1"/>
        <rFont val="Arial"/>
        <family val="2"/>
      </rPr>
      <t>ABR.</t>
    </r>
  </si>
  <si>
    <r>
      <rPr>
        <sz val="14"/>
        <color theme="1"/>
        <rFont val="Arial"/>
        <family val="2"/>
      </rPr>
      <t xml:space="preserve">PROGRAMADO </t>
    </r>
    <r>
      <rPr>
        <b/>
        <sz val="14"/>
        <color theme="1"/>
        <rFont val="Arial"/>
        <family val="2"/>
      </rPr>
      <t>MAY.</t>
    </r>
  </si>
  <si>
    <r>
      <rPr>
        <sz val="14"/>
        <color theme="1"/>
        <rFont val="Arial"/>
        <family val="2"/>
      </rPr>
      <t xml:space="preserve">EJECUTADO  </t>
    </r>
    <r>
      <rPr>
        <b/>
        <sz val="14"/>
        <color theme="1"/>
        <rFont val="Arial"/>
        <family val="2"/>
      </rPr>
      <t>MAY.</t>
    </r>
  </si>
  <si>
    <r>
      <rPr>
        <sz val="14"/>
        <color theme="1"/>
        <rFont val="Arial"/>
        <family val="2"/>
      </rPr>
      <t>PROGRAMADO</t>
    </r>
    <r>
      <rPr>
        <b/>
        <sz val="14"/>
        <color theme="1"/>
        <rFont val="Arial"/>
        <family val="2"/>
      </rPr>
      <t xml:space="preserve"> JUN.</t>
    </r>
  </si>
  <si>
    <r>
      <rPr>
        <sz val="14"/>
        <color theme="1"/>
        <rFont val="Arial"/>
        <family val="2"/>
      </rPr>
      <t xml:space="preserve">EJECUTADO </t>
    </r>
    <r>
      <rPr>
        <b/>
        <sz val="14"/>
        <color theme="1"/>
        <rFont val="Arial"/>
        <family val="2"/>
      </rPr>
      <t>JUN.</t>
    </r>
  </si>
  <si>
    <r>
      <rPr>
        <sz val="14"/>
        <color theme="1"/>
        <rFont val="Arial"/>
        <family val="2"/>
      </rPr>
      <t>PROGRAMADO</t>
    </r>
    <r>
      <rPr>
        <b/>
        <sz val="14"/>
        <color theme="1"/>
        <rFont val="Arial"/>
        <family val="2"/>
      </rPr>
      <t xml:space="preserve"> JUL.</t>
    </r>
  </si>
  <si>
    <r>
      <rPr>
        <sz val="14"/>
        <color theme="1"/>
        <rFont val="Arial"/>
        <family val="2"/>
      </rPr>
      <t xml:space="preserve">EJECUTADO  </t>
    </r>
    <r>
      <rPr>
        <b/>
        <sz val="14"/>
        <color theme="1"/>
        <rFont val="Arial"/>
        <family val="2"/>
      </rPr>
      <t>JUL.</t>
    </r>
  </si>
  <si>
    <r>
      <rPr>
        <sz val="14"/>
        <color theme="1"/>
        <rFont val="Arial"/>
        <family val="2"/>
      </rPr>
      <t xml:space="preserve">PROGRAMADO </t>
    </r>
    <r>
      <rPr>
        <b/>
        <sz val="14"/>
        <color theme="1"/>
        <rFont val="Arial"/>
        <family val="2"/>
      </rPr>
      <t>AGO.</t>
    </r>
  </si>
  <si>
    <r>
      <rPr>
        <sz val="14"/>
        <color theme="1"/>
        <rFont val="Arial"/>
        <family val="2"/>
      </rPr>
      <t xml:space="preserve">EJECUTADO  </t>
    </r>
    <r>
      <rPr>
        <b/>
        <sz val="14"/>
        <color theme="1"/>
        <rFont val="Arial"/>
        <family val="2"/>
      </rPr>
      <t>AGO.</t>
    </r>
  </si>
  <si>
    <r>
      <rPr>
        <sz val="14"/>
        <color theme="1"/>
        <rFont val="Arial"/>
        <family val="2"/>
      </rPr>
      <t xml:space="preserve">PROGRAMADO </t>
    </r>
    <r>
      <rPr>
        <b/>
        <sz val="14"/>
        <color theme="1"/>
        <rFont val="Arial"/>
        <family val="2"/>
      </rPr>
      <t>SEP.</t>
    </r>
  </si>
  <si>
    <r>
      <rPr>
        <sz val="14"/>
        <color theme="1"/>
        <rFont val="Arial"/>
        <family val="2"/>
      </rPr>
      <t xml:space="preserve">EJECUTADO  </t>
    </r>
    <r>
      <rPr>
        <b/>
        <sz val="14"/>
        <color theme="1"/>
        <rFont val="Arial"/>
        <family val="2"/>
      </rPr>
      <t>SEP</t>
    </r>
    <r>
      <rPr>
        <sz val="14"/>
        <color theme="1"/>
        <rFont val="Arial"/>
        <family val="2"/>
      </rPr>
      <t>.</t>
    </r>
  </si>
  <si>
    <r>
      <rPr>
        <sz val="14"/>
        <color theme="1"/>
        <rFont val="Arial"/>
        <family val="2"/>
      </rPr>
      <t>PROGRAMADO</t>
    </r>
    <r>
      <rPr>
        <b/>
        <sz val="14"/>
        <color theme="1"/>
        <rFont val="Arial"/>
        <family val="2"/>
      </rPr>
      <t xml:space="preserve"> OCT.</t>
    </r>
  </si>
  <si>
    <r>
      <rPr>
        <sz val="14"/>
        <color theme="1"/>
        <rFont val="Arial"/>
        <family val="2"/>
      </rPr>
      <t xml:space="preserve">EJECUTADO  </t>
    </r>
    <r>
      <rPr>
        <b/>
        <sz val="14"/>
        <color theme="1"/>
        <rFont val="Arial"/>
        <family val="2"/>
      </rPr>
      <t>OCT</t>
    </r>
    <r>
      <rPr>
        <sz val="14"/>
        <color theme="1"/>
        <rFont val="Arial"/>
        <family val="2"/>
      </rPr>
      <t>.</t>
    </r>
  </si>
  <si>
    <r>
      <rPr>
        <sz val="14"/>
        <color theme="1"/>
        <rFont val="Arial"/>
        <family val="2"/>
      </rPr>
      <t xml:space="preserve">PROGRAMADO </t>
    </r>
    <r>
      <rPr>
        <b/>
        <sz val="14"/>
        <color theme="1"/>
        <rFont val="Arial"/>
        <family val="2"/>
      </rPr>
      <t>NOV.</t>
    </r>
  </si>
  <si>
    <r>
      <rPr>
        <sz val="14"/>
        <color theme="1"/>
        <rFont val="Arial"/>
        <family val="2"/>
      </rPr>
      <t xml:space="preserve">EJECUTADO </t>
    </r>
    <r>
      <rPr>
        <b/>
        <sz val="14"/>
        <color theme="1"/>
        <rFont val="Arial"/>
        <family val="2"/>
      </rPr>
      <t>NOV.</t>
    </r>
  </si>
  <si>
    <r>
      <rPr>
        <sz val="14"/>
        <color theme="1"/>
        <rFont val="Arial"/>
        <family val="2"/>
      </rPr>
      <t xml:space="preserve">PROGRAMADO  </t>
    </r>
    <r>
      <rPr>
        <b/>
        <sz val="14"/>
        <color theme="1"/>
        <rFont val="Arial"/>
        <family val="2"/>
      </rPr>
      <t>DIC.</t>
    </r>
  </si>
  <si>
    <r>
      <rPr>
        <sz val="14"/>
        <color theme="1"/>
        <rFont val="Arial"/>
        <family val="2"/>
      </rPr>
      <t xml:space="preserve">EJECUTADO </t>
    </r>
    <r>
      <rPr>
        <b/>
        <sz val="14"/>
        <color theme="1"/>
        <rFont val="Arial"/>
        <family val="2"/>
      </rPr>
      <t>DIC.</t>
    </r>
  </si>
  <si>
    <r>
      <rPr>
        <sz val="12"/>
        <color theme="1"/>
        <rFont val="Arial"/>
        <family val="2"/>
      </rPr>
      <t xml:space="preserve">REPROGRAMACIÓN </t>
    </r>
    <r>
      <rPr>
        <b/>
        <sz val="12"/>
        <color theme="1"/>
        <rFont val="Arial"/>
        <family val="2"/>
      </rPr>
      <t>VIGENCIA 
(VALOR INICIAL)</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</si>
  <si>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</si>
  <si>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</si>
  <si>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</si>
  <si>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</si>
  <si>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</si>
  <si>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</si>
  <si>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</si>
  <si>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</si>
  <si>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</si>
  <si>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</si>
  <si>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</si>
  <si>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</si>
  <si>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</si>
  <si>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</si>
  <si>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</si>
  <si>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</si>
  <si>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</si>
  <si>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</si>
  <si>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</si>
  <si>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</si>
  <si>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</si>
  <si>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</si>
  <si>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</si>
  <si>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</si>
  <si>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t>Ecourbanismo y construcción sostenible</t>
  </si>
  <si>
    <t>Realizar a 600 proyectos de infraestructura, la gestión para la aplicación de determinantes ambientales.</t>
  </si>
  <si>
    <t>MAGNITUD  FÍSICA</t>
  </si>
  <si>
    <t>Durante la vigencia de 2023 corresponde a (185) proyectos, para un total de (514) proyectos durante el cuatrienio, a los cuales se les ha incorporado criterios de sostenibilidad y corresponden a: (14) actuaciones estratégicas, (18) Planes Parciales de Desarrollo, (26) Planes Parciales de Renovación Urbana, (56) Proyectos de Legalización y Regularización de Barrios, (15) Planes de Implantación,  (06) Planes de Regularización y Manejo, (07) Planes Directores para parques, (02) Planes de Manejo de Humedales, (280) Diseños paisajísticos de parques y zonas verdes, (35) proyectos de compatibilidad de uso de vivienda en suelo restringido, (04) Balances de zonas verdes, (02) Patios zonales para el Sistema Integrado de Transporte Publico – SITP, (03) proyectos con Acciones de mitigación de impactos ambientales uso dotacional, comercio y servicios,  (02) proyectos de segmentos viales, (02) lineamientos para Ecobarrios, (01) aislamiento de proyecto de construcción, (10) proyectos Bogotá Construcción Sostenible y (31) proyectos de infraestructura especial como colegios y aulas ambientales, tramos viales en intervenciones en áreas verdes y Zonas de Manejo y Preservación Ambiental y vallados.</t>
  </si>
  <si>
    <t>La aplicación de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</si>
  <si>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Archivo de Gestión SEGAE.</t>
  </si>
  <si>
    <t>PRESUPUESTO VIGENCIA</t>
  </si>
  <si>
    <t>GIRO VIGENCIA</t>
  </si>
  <si>
    <t>MAGNITUD FÍSICA RESERVAS</t>
  </si>
  <si>
    <t>RESERVA PRESUPUESTAL</t>
  </si>
  <si>
    <t>TOTAL MAGNITUD FÍSICA</t>
  </si>
  <si>
    <t>TOTAL PRESUPUESTO DE LA META</t>
  </si>
  <si>
    <t>Realizar a 400 proyectos de infraestructura en etapa de operación, el seguimiento a la incorporación de determinantes ambientales.</t>
  </si>
  <si>
    <t>Durante la vigencia 2023, se ha verificado la incorporación de determinantes ambientales a ciento treinta y siete (137) proyectos de infraestructura en el espacio público y privado; (135) corresponden a diseños paisajísticos de parques y zonas verdes y (2) son Planes de Implantación.
En el mes de diciembre se verificaron 10 proyectos de los cuales se han desarrollado en las siguientes localidades: (01) Fontibón, (03) Suba, (03) Engativá, (01) Bosa, (01) Teusaquillo y (01) Rafael Uribe.</t>
  </si>
  <si>
    <t>La Secretaría Distrital de Ambiente ha realizado importantes esfuerzos incorporando criterios de ecourbanismo y construcción sostenible en proyectos urbanos y arquitectónicos en la Ciudad, por lo cual es necesario realizar la verificación en la incorporación de los lineamientos y determinantes ambientales de ecourbanismo y construcción sostenible a proyectos de infraestructura que actualmente están en operación, evaluando su aporte a las políticas nacionales y distritales que rigen en esta materia y su aporte a la gestión de la crisis climática; así mismo, esta verificación permitirá conocer las dificultades por parte del sector construcción en la incorporación de estos criterios, permitiendo que desde la administración distrital genere estrategias para promover y fortalecer la construcción sostenible en la Ciudad.</t>
  </si>
  <si>
    <t>Realizar a 20000 m2 de techos verdes y jardines verticales, el acompañamiento técnico</t>
  </si>
  <si>
    <t>Durante la vigencia 2023, se ha realizado acompañamiento técnico a 5922 m2 de techos verdes, durante el mes de diciembre 192 m2 promovidos en las localidades de Engativá y Chapinero.</t>
  </si>
  <si>
    <t>El acompañamiento técnico a techos verdes y jardines verticales, promueve la conservación y mejoramiento de estas estructuras, las cuales ofrecen múltiples beneficios ambientales (Ejemplo: Retienen el agua lluvia, mitigan el efecto isla de calor, absorben el ruido), sociales (Ejemplo: Mejoran el paisaje urbano, aumentan el área verde de la ciudad, mejoran la calidad de vida) y económicos (Ejemplo: Mantienen la comodidad térmica al interior de las edificaciones, evitando el uso de calefactores, valorizan el predio, permiten integrarse con sistemas de aprovechamiento de agua lluvia, ahorrando consumo de agua), para la ciudad y sus habitantes.</t>
  </si>
  <si>
    <t>Gestión Ambiental Empresarial</t>
  </si>
  <si>
    <t>Diseñar y hacer seguimiento a  1 estrategia de crecimiento verde con enfoque de sostenibilidad, economía circular  e innovación</t>
  </si>
  <si>
    <t>CRECIENTE</t>
  </si>
  <si>
    <t>Asistir a 800 proyectos participantes de programas voluntarios ofrecidos por la SEGAE, para el mejoramiento del desempeño ambiental.</t>
  </si>
  <si>
    <t>Durante la vigencia 2023 se han asistido a 290 proyectos, el avance en diciembre del 2023 es de 30 según lo programado.
Los proyectos se extraen del acompañamiento realizado a las empresas participantes en el Programa Gestión Ambiental Empresarial (PGAE) integrado por ACERCAR y Programa de Excelencia Ambiental Distrital (PREAD). De manera transversal, el apoyo que el Índice de Desempeño Ambiental (I.D.A.E.) con la medición del mejoramiento del desempeño ambiental de las empresas PGAE.
El acompañamiento se enmarca en la operación de los mecanismos mencionados, en los que se orienta al uso eficiente de los recursos naturales y materiales mediante la formulación, implementación y terminación de proyectos ambientales. Solo se presentan aquellos con beneficios ambientales y económicos, por ende, el reporte depende de la demanda en la presentación y desarrollo de los proyectos por parte de las empresas participantes.
Conforme a la planeación de la meta para la vigencia 2023, se han reportado: enero 0 proyectos, febrero 10, marzo 20, abril 30, mayo 30, junio 30, julio 10, agosto 10, septiembre 40, octubre 40, noviembre 40 y diciembre 30. Estos 30 objeto de reporte se dirigen al uso eficiente de: agua 3, energía 7, materiales 18 y emisiones 2.
ACERCAR consolidó resultados pendientes de la implementación de proyectos, inicio la elaboración de informes finales y continuó con la convocatoria 2024.
PREAD llevó a cabo la ceremonia de la XXIII convocatoria, reconociendo a 246 empresas.
Transversal: envió a diseño los resultados de las encuestas de percepción dirigidas a gerentes y líderes ambientales de las empresas participantes desde 2020 a 2023.
I.D.A.E. en empresas ACERCAR 2023 continuó validando los indicadores de consumo de energía eléctrica y térmica, agua y residuos peligrosos, de 225 reportes han finalizado 110. Medición del I.D.A.E. para 62 empresas en las categorías muy bueno, bueno, aceptable y deficiente. En PREAD se brindó apoyo en observaciones a informes finales.</t>
  </si>
  <si>
    <t xml:space="preserve">El mejoramiento ambiental de las organizaciones a partir de estrategias de prevención, que permitan minimizar el impacto ambiental generado en la ciudad. </t>
  </si>
  <si>
    <t>Acompañar y promover a 100 empresas en el proceso de verificación de los criterios de Negocios verdes.</t>
  </si>
  <si>
    <t xml:space="preserve">El ejecutado de la vigencia 2023 es de 34 negocios verdes satisfactorios; de los cuales 2 fueron verificados y aprobados en el mes de diciembre del año 2023 y corresponde a los siguientes negocios:
• AMARALIA BM S.A.S 2023EE302091 Puntaje 54.89%
•CONSENTIDOS POR LA NATURALEZA S.A.S– 2023EE302085 Puntaje 74.93%
</t>
  </si>
  <si>
    <t>Permite promover el fortalecimiento de actividades económicas que ofrecen bienes o servicios que generan impactos ambientales positivos y que, además, incorpora buenas prácticas ambientales, sociales, económicas, con enfoque de ciclo de vida, contribuyendo al consumo sostenible y a la conservación del ambiente como capital natural que soporta el desarrollo de la región y la estrategia de crecimiento verde.</t>
  </si>
  <si>
    <t>Desarrollar 7 proyectos pilotos de economía circular en sectores productivos priorizados</t>
  </si>
  <si>
    <t>Avanza en la transición de una economía lineal hacía una economía circular en sectores económicos priorizados, a través de la reincorporación y valorización de materiales y residuos, así como en la incorporación de energías renovables y el uso eficiente de la energía eléctrica.</t>
  </si>
  <si>
    <t>Desarrollar 9 proyectos de producción más limpia en los sectores priorizados</t>
  </si>
  <si>
    <t>El principal beneficio asociado al desarrollo de 9 proyectos de producción más limpia en los sectores priorizados se encuentra relacionado con el apoyo a la ordenación de la cuenca del Río Bogotá con el ánimo de solucionar su estado de contaminación.  Es así como, a partir de la aprobación del ajuste y actualización del Plan de Ordenación y Manejo de la Cuenca Hidrográfica del río Bogotá - POMCA, se busca la implementación de proyectos de producción mas limpia a través de la optimización y desarrollo de buenas prácticas ambientales de los procesos industriales en Pymes de metalurgia y curtiembres en Bogotá, al igual que, el apoyo técnico y seguimiento socio ambiental de las actividades minero industriales; lo que a su vez contribuye con la descontaminación del río Bogotá.</t>
  </si>
  <si>
    <t>Archivos de gestión SEGAE</t>
  </si>
  <si>
    <t xml:space="preserve">Plan de Acción Climática para Bogotá D.C. 2020 - 2050. </t>
  </si>
  <si>
    <t xml:space="preserve">Articular y consolidar 1 Plan de Acción Climática para Bogotá D.C. 2020 - 2050.
</t>
  </si>
  <si>
    <t>v</t>
  </si>
  <si>
    <t>Meta finalizada por cumplimiento al 100% en la vigencia 2021
Durante la vigencia 2021 se realizaron reuniones de socialización de las Acciones de Adaptación y Mitigación del Cambio climático que se caracterizaron en la versión inicial del Plan de Acción Climática para Bogotá 2020 - 2050 con el objetivo de ser validadas por los diferentes sectores responsables de su implementación. De manera adicional se validaron y consolidaron  las acciones de Adaptación y Mitigación que conforman el Plan de Acción Climática para Bogotá 2020 - 2050 con los actores de los diferentes sectores del Distrito capital. Con estas acciones se avanza en el 0,1 de ejecución logrando a cabalidad el cumplimiento de la meta.</t>
  </si>
  <si>
    <t>Los cambios que se presentan en el clima son tanto naturales como resultado de actividades humanas, pero últimamente son estos últimos los que más aceleran el proceso, conscientes de la situación y el escenario que ello genera, el Plan de Desarrollo Distrital determina avanzar en la estructuración de un plan de acción climática para Bogotá D.C., con un horizonte a 2050, que contribuya con lineamientos y acciones concretas de adaptación y mitigación, para hacer frente a los efectos del calentamiento global. Para ello, se tendrá como uno de los referentes principales el Plan Distrital de Gestión del Riesgo de Desastres y del Cambio Climático para Bogotá D.C., 2018-2030</t>
  </si>
  <si>
    <t>Archivo de gestión DCA</t>
  </si>
  <si>
    <t>Implementar al 100% de las acciones priorizadas del Plan de Acción Climática para Bogotá D.C. 2020 - 2050.</t>
  </si>
  <si>
    <t>La ciudad cuenta con un Plan de Acción Climática y con una Política Pública de Acción Climática con horizonte a 2050 que plantean acciones de mitigación y de adaptación al cambio climático, así como otras para la gobernanza y el conocimiento, a fin de enfrentar, de la mejor manera, sus efectos y favorecer la resiliencia.</t>
  </si>
  <si>
    <t>Presentaciones y actas de reuniones, documentos técnicos, informes de convenios y contratos, reportes de emergencias respondidas por la entidad, informes de seguimiento y de evaluación del PACA, informes de gestión, reportes de seguimiento, documento CONPES Distrital 31 .</t>
  </si>
  <si>
    <t>TOTAL PROYECTO</t>
  </si>
  <si>
    <t>TOTAL PRESUPUESTO VIGENCIA  DEL PROYECTO</t>
  </si>
  <si>
    <t>TOTAL RESERVA PRESUPUESTAL DEL PROYECTO</t>
  </si>
  <si>
    <t>TOTAL PROYECTO VIGENCIA + RESERVAS</t>
  </si>
  <si>
    <t>Formato: Programación, Actualización y Seguimiento del Plan de Acción - Componente de Actividades</t>
  </si>
  <si>
    <t>Codigo:PE01-PR02-F2</t>
  </si>
  <si>
    <r>
      <rPr>
        <b/>
        <sz val="20"/>
        <color theme="1"/>
        <rFont val="Arial"/>
        <family val="2"/>
      </rPr>
      <t>Versión:</t>
    </r>
    <r>
      <rPr>
        <b/>
        <sz val="20"/>
        <color rgb="FFFF0000"/>
        <rFont val="Arial"/>
        <family val="2"/>
      </rPr>
      <t xml:space="preserve"> </t>
    </r>
    <r>
      <rPr>
        <b/>
        <sz val="20"/>
        <color theme="1"/>
        <rFont val="Arial"/>
        <family val="2"/>
      </rPr>
      <t>14</t>
    </r>
  </si>
  <si>
    <t>7794 - Fortalecimiento de la gestión ambiental sectorial, el ecourbanismo y cambio climático en el D.C. Bogotá.</t>
  </si>
  <si>
    <t>1, LÍNEA DE ACCIÓN</t>
  </si>
  <si>
    <t>2, META DE PROYECTO</t>
  </si>
  <si>
    <t>3, CÓDIGO Y NOMBRE DE LA ACTIVIDAD</t>
  </si>
  <si>
    <t>4, SE EJECUTA CON RECURSOS DE:</t>
  </si>
  <si>
    <t>5, PONDERACIÓN HORIZONTAL AÑO: 2023</t>
  </si>
  <si>
    <t xml:space="preserve">6,PONDERACIÓN VERTICAL </t>
  </si>
  <si>
    <t>7, LOGROS CORTE A DICIEMBRE AÑO 2023</t>
  </si>
  <si>
    <t>4,1 VIGENCIA</t>
  </si>
  <si>
    <t>4,2 RESERVA</t>
  </si>
  <si>
    <t>VARIABLES</t>
  </si>
  <si>
    <t>Ene</t>
  </si>
  <si>
    <t>Feb</t>
  </si>
  <si>
    <t>Mar</t>
  </si>
  <si>
    <t>Abr</t>
  </si>
  <si>
    <t>May</t>
  </si>
  <si>
    <t>Jun</t>
  </si>
  <si>
    <t>Jul</t>
  </si>
  <si>
    <t>Ago</t>
  </si>
  <si>
    <t>Sep</t>
  </si>
  <si>
    <t>Oct</t>
  </si>
  <si>
    <t>Nov</t>
  </si>
  <si>
    <t>Dic</t>
  </si>
  <si>
    <t>Total</t>
  </si>
  <si>
    <t>6,1 META</t>
  </si>
  <si>
    <t>6,2 ACTIVIDAD</t>
  </si>
  <si>
    <t>1. Realizar el acompañamiento para la incorporación de criterios y determinantes ambientales en proyectos de construcción.</t>
  </si>
  <si>
    <t>X</t>
  </si>
  <si>
    <t>Programado</t>
  </si>
  <si>
    <t>Ejecutado</t>
  </si>
  <si>
    <t>2. Verificar  la incorporación de  criterios y determinantes ambientales en proyectos de construcción.</t>
  </si>
  <si>
    <t>3. Realizar el acompañamiento técnico a  techos verdes y jardines verticales en la Ciudad.</t>
  </si>
  <si>
    <t>4. Gestionar la participación de instituciones y otros actores en la implementación de la Estrategia.</t>
  </si>
  <si>
    <t>Durante la vigencia 2023 se ha consolidado la participación de los actores que han estado vinculados a Bogotá Circular. Se gestionó la vinculación de la estrategia al programa de internacionalización de la Dirección de Relaciones Internacionales, específicamente en su estrategia Bogotá Sostenible, ENEL se vinculó, aportando su experiencia en promoción de ciudades sostenibles. Igualmente, se ha venido participando en la reunión de ciudades circulares de la Fundación Ellen McArtur. Se aseguró la vinculación de Bogotá Circular con la fase II de PREVEC y al cluster CLEAN Colombia. En diciembre se consolidó la participación activa de cada uno de los actores a través de la concertación de proyectos prioritarios para 2024 y propuesta de roles.</t>
  </si>
  <si>
    <t>5. Formular, priorizar y desarrollar proyectos conjuntos</t>
  </si>
  <si>
    <t>6. Brindar asistencia técnica para la formulación y desarrollo de proyectos ambientales para el mejoramiento del desempeño ambiental en empresas participantes de programas voluntarios ofrecidos por la SEGAE.</t>
  </si>
  <si>
    <t>En el marco de la operación de ACERCAR del Programa Gestión Ambiental Empresarial con el apoyo transversal del IDAE, se acompañan a las empresas fortaleciendo sus capacidades para el mejoramiento del desempeño ambiental, a través de metodología que permite realizar autodiagnóstico, orientarles en la formulación, implementación y terminación de proyectos ambientales para el mejoramiento del desempeño ambiental, cumplimiento normativo ambiental y eficiencia en los procesos con el soporte de las herramientas del Sistema de Gestión Ambiental.
Para el mes de diciembre, en ACERCAR de las 287 empresas participantes se encuentran activas 238. Se realizó la consolidación final de resultados de proyectos presentados por las empresas participantes en el ciclo 2023. Inicio la elaboración y creación en forest de los informes finales que presentan el desempeño logrado producto del acompañamiento. Se continuo con convocatoria 2024.
El I.D.A.E continúo evaluando reportes de empresas ACERCAR ciclo 2023 para validar los indicadores de consumo de energía eléctrica y térmica, agua y residuos peligrosos. Así mismo, realizó la medición del Índice de Desempeño Ambiental Empresarial – I.D.A.E. para 62 empresas alcanzando la categoría entre muy bueno, bueno, aceptable y deficiente.
Conforme a la programación de la meta, se realiza el reporte de 30 proyectos para un total consolidado en la vigencia 2023 de 290, presentados por las empresas y terminados en los predios participantes. Ello contribuye en el uso eficiente de los recursos naturales y materiales para las organizaciones y de aporte al mejoramiento ambiental de la ciudad, de esta manera, se da cumplimiento a la meta programada para la vigencia del 2023.</t>
  </si>
  <si>
    <t>7. Desarrollar las actividades programadas en cada convocatoria del Programa de Excelencia Ambiental Distrital - PREAD.</t>
  </si>
  <si>
    <t xml:space="preserve">El Programa de Excelencia Ambiental Distrital (PREAD) desarrolla la XXIII convocatoria del año 2023. Su operación está compuesta a través de varias etapas: postulación, verificación, ejecución de auditorías, entrega de informes y reconocimiento.
Para el mes de diciembre PREAD dispuso la logística, preparación técnica, comunicativa llevando a cabo la ceremonia de reconocimiento de la XXIII convocatoria del PREAD, exalto a 246 empresas en tres categorías (38 Élite, 138 Excelencia Ambiental, 70 En Marcha Hacia la Excelencia Ambiental), así mismo, gestiono y logro sacar adelante el contrato para la publicación de los resultados del PREAD, entregando el insumo para la divulgación en radio, escrito y digital. Por otra parte, elaboró el borrador y logro la expedición de la Resolución de reconocimiento de las 246 empresas que lograron clasificarse en alguna de las tres categorías del PREAD.
Conforme a la programación de la meta, se realiza el reporte de 30 proyectos para un total consolidado en la vigencia 2023 de 290, presentados por las empresas y terminados en los predios participantes. Ello contribuye en el uso eficiente de los recursos naturales y materiales para las organizaciones y de aporte al mejoramiento ambiental de la ciudad, de esta manera, se da cumplimiento a la meta programada para la vigencia del 2023.
</t>
  </si>
  <si>
    <t>8. Desarrollo de estrategias o escenarios para el fortalecimiento de los  emprendimientos y negocios verdes.</t>
  </si>
  <si>
    <t xml:space="preserve">
En el marco de la promoción de los negocios verdes, la Secretaría Distrital de Ambiente participó en la feria ambiental organizada por el edificio corporativo FIC 9211, el miércoles 6 de diciembre del 2023.
En la feria se contó con la participación de los siguientes negocios verdes: SEDE PRINCIPAL
● Panavayu
● Aceites Esenciales Aromas Colombianos
● Monica Fonnegtra
● Camaleon Bag
● R3CO
</t>
  </si>
  <si>
    <t xml:space="preserve">9. Realizar el acompañamiento en el proceso de fortalecimiento de negocios verdes </t>
  </si>
  <si>
    <t xml:space="preserve">Durante este periodo no se realizaron actividades de acompanamiento, dadas la falta de capacidad del equipo para atender esta obligacion , en tal sentido, se programan actividades para el mes de enero de 2024 </t>
  </si>
  <si>
    <t>10. Verificación y seguimiento a los criterios de negocios verdes.</t>
  </si>
  <si>
    <t xml:space="preserve">De acuerdo con lo establecido en el Plan Nacional de Negocios Verdes se realizó la verificación de dos negocios los cuales fueron establecidos como negocios verdes, por cumplir con los criterios necesarios para ser negocio verde. A continuación, se relacionan:
• AMARALIA BM S.A.S 2023EE302091 Puntaje 54.89%
•CONSENTIDOS POR LA NATURALEZA S.A.S– 2023EE302085 Puntaje 74.93%
En lo relacionado con el seguimiento se programan para el mes de enero de 2024 dada la falta capacidad del equipo de trabajo 
</t>
  </si>
  <si>
    <t>11. Mesas de articulación con actores gremiales, académicos e interinstitucionales.</t>
  </si>
  <si>
    <t>12. Realizar el acompañamiento de los procesos de promoción de los proyectos.</t>
  </si>
  <si>
    <t>Durante la vigencia 2023 se acompañó en el proyecto Red Moda Circular se acompaño la pasarela de moda sostenible realizada en la plaza de toro de la santamaria mostrando colecciones de moda de diferentes diseñadores, provedores y consumidores de moda sostenible en bogotá. En lo relacionado con el proyecto de logística Verde el equipo realiza acompañamiento a las empresas beneficiarias los resultados de los proyectos 2023 a fin de identificar oportunidades de trabajo para el ano 2024. En el proyecto de sostenibilidad energética se realizó un taller para resolver dudas e inquietudes en el diligenciamiento de los templetes WTA con las entidades participantes.  Finalmente, en lo relacionado con el proyecto de Plataforma regional de Economía Circular se continua el acompasamiento a los productos a través de informes, reuniones y talleres.</t>
  </si>
  <si>
    <t>13. Presentación de avances o boletines de los proyectos</t>
  </si>
  <si>
    <t>14. Formulación e implementación de los proyectos de producción más limpia en los sectores de curtiembres, metalurgia (galvanoplastia) y mineria, establecidos en el plan anual.</t>
  </si>
  <si>
    <t>Durante la vigencia 2023, Se avanzó con el desarrollo de actividades en cada uno de los tres sectores priorizados del POMCA, para el sector curtidor se adelantó la implementación del proyecto San Benito Circular II en el cual se realizó el informe de seguimiento, se enviaron los oficios a las entidades participantes en la Mesa Distrital de Curtiembres, con el estudio de prefactibilidad y el análisis financiero de la PTAR enviada por ASOPIESB y se recibieron 4 autodiagnósticos de la ecoetiqueta de Cundinamarca. Para el sector galvánico se elaboraron los informes finales de cada una de las empresas participantes en el proyecto ProRedES, y participó en la mesa interinstitucional de PML; en el sector minero se realizó la mesa distrital de minería, y se llevó a cabo una mesa de trabajo con la CAR. En las actividades transversales, para el proyecto “Banco de Proyectos” se ejecutó una mesa de trabajo con el sistema de información SIRío Bogotá; para el proyecto “Sellos Ambientales” se realizó la mesa de trabajo con la ladrillera que cuenta con el SAC de la NTC 6033 y se llevó a cabo la última mesa de sectores productivos del año.</t>
  </si>
  <si>
    <t>15. Realizar acciones generales y orientadoras para la gestión del cambio climático.</t>
  </si>
  <si>
    <t>16. Ejecutar acciones de gestión del riesgo por incendio forestal.</t>
  </si>
  <si>
    <r>
      <rPr>
        <u/>
        <sz val="9"/>
        <color theme="1"/>
        <rFont val="Arial"/>
        <family val="2"/>
      </rPr>
      <t>Conocimiento:</t>
    </r>
    <r>
      <rPr>
        <sz val="9"/>
        <color theme="1"/>
        <rFont val="Arial"/>
        <family val="2"/>
      </rPr>
      <t xml:space="preserve">
- Diseño y divulgación 2 campañas de prevención de incendios forestales (IF). 
- Aportes inclusión medidas de contingencia por IF en instrumentos de áreas de interés ambiental.
- 27 evaluaciones de complejidad de IF y 20 reportes en el SNIF.
- Aportes actualización: escenario de riesgo por IF Santa Fe, Plan Dital Gestión Riesgo de Desastres y Estrategia Dital Respuesta a Emergencias.
- Aportes proyecto Resolución adopción Lineamientos silvicultura preventiva (art. 114 Dec. 555/21).
- Participación taller investigaciones.
</t>
    </r>
    <r>
      <rPr>
        <u/>
        <sz val="9"/>
        <color theme="1"/>
        <rFont val="Arial"/>
        <family val="2"/>
      </rPr>
      <t>Reducción:</t>
    </r>
    <r>
      <rPr>
        <sz val="9"/>
        <color theme="1"/>
        <rFont val="Arial"/>
        <family val="2"/>
      </rPr>
      <t xml:space="preserve">
- Prevención: programación de capacitaciones y realización de 7. Elaboración estructura y diseño didáctico de curso virtual; avance cargue en plataforma.
- Mitigación: recorridos por senderos para identificar combustibles; estrategia emergencias en Tibanica y socialización.
</t>
    </r>
    <r>
      <rPr>
        <u/>
        <sz val="9"/>
        <color theme="1"/>
        <rFont val="Arial"/>
        <family val="2"/>
      </rPr>
      <t>Manejo:</t>
    </r>
    <r>
      <rPr>
        <sz val="9"/>
        <color theme="1"/>
        <rFont val="Arial"/>
        <family val="2"/>
      </rPr>
      <t xml:space="preserve">
- Seguimiento y actualización datos de eventos reportados a la Comisión Distrital para la Prevención y Mitigación de por Incendios Forestales (CDPMIF). Visitas y georreferenciación de IF. Participación PMU.
- Reunión para definir competencias y criterios de evaluación y georreferenciación de IF.
- Participación y aportes a la Red de Gestión del Riesgo del SINA para abordar fenómeno El Niño 2023.
- Aportes a Planes de Acción de temporadas menos lluvias: II-2023 y I-2024 y reportes de acciones.
- Valoración económica IF Tibanica y socialización.
</t>
    </r>
    <r>
      <rPr>
        <u/>
        <sz val="9"/>
        <color theme="1"/>
        <rFont val="Arial"/>
        <family val="2"/>
      </rPr>
      <t>Presidencia Comisión (desde el 27/12/23: Comisión Distrital para la Gestión del Riesgo por Incendios Forestales):</t>
    </r>
    <r>
      <rPr>
        <sz val="9"/>
        <color theme="1"/>
        <rFont val="Arial"/>
        <family val="2"/>
      </rPr>
      <t xml:space="preserve">
- Liderazgo 14 sesiones ordinarias y extraordinarias.
- Informes de acciones de la SDA según plan de acción de la Comisión: IV trim e informe de gestión 2022 y I al III trim 2023. Revisión y complemento documentos consolidados.
- Revisión y aportes a informe de gestión adtvo. IV trim 2022 y I al III trim 2023.
- Revisión: reglamento interno y propuesta de actualización; propuesta de bomberos para evaluar IF.
- Gestión para actualizar Dcto. 377/14: se expoidió Decreto Distrital 622/2023.</t>
    </r>
  </si>
  <si>
    <t>17. Activar la respuesta a las emergencias de los servicios básicos en los que la SDA actúa como responsable ejecutor.</t>
  </si>
  <si>
    <t>18. Promover la implementación de los instrumentos de planeación de gestión ambiental PIGA y PACA en las entidades del Distrito Capital.</t>
  </si>
  <si>
    <r>
      <rPr>
        <u/>
        <sz val="9"/>
        <color theme="1"/>
        <rFont val="Arial"/>
        <family val="2"/>
      </rPr>
      <t>Implementación de instrumentos de planeación ambiental</t>
    </r>
    <r>
      <rPr>
        <sz val="9"/>
        <color theme="1"/>
        <rFont val="Arial"/>
        <family val="2"/>
      </rPr>
      <t>:
*PIGA: Encuesta en temas ambientales a priorizar; atención de 111 solicitudes y 55 jornadas de socialización realizadas en los temas de Compras sostenibles, Registro de generadores de Residuos Peligrosos, Cultura de agua, Elementos Plásticos de un Solo Uso - EPSU, Residuos sólidos, Residuos Peligrosos - RESPEL, Aceite Vegetal Usado - AVU, Bifenilos Policlorados "BPCs", Huella Ecológica, Economía Circular, Cambio Climático, Biodiversidad DC, Storm User, Movilidad Sostenible, Residuos Hospitalarios, Eficiencia Energética, Fuentes No Convencionales de Energía, Infraestructura Vegetal, Programa de Gestión Ambiental Empresarial, Plan Acción PIGA y Reporte Elementos Plásticos de un Solo Uso - EPSU. Desarrollo y clausura del Concurso Al Trabajo en Bici 2023 y Lanzamiento, desarrollo y clausura del VI Concurso de Buenas Prácticas Ambientales., Participación en la elaboración y actualización de documentos normativos relacionado con el PIGA “Por la cual se adopta la guía técnica para la formulación del Plan Institucional de Gestión Ambiental (PIGA), y se dictan lineamientos para su concertación, implementación, evaluación, control y seguimiento, y otras disposiciones y se realizó el Reconocimiento por el alto y medio alto desempeño en la implementación del Plan Institucional de Gestión Ambiental – PIGA Vigencia 2022 
PACA: Reporte Cuenta Anual PACA 2022 a Contraloría, reporte seguim. PACA II sem. 2022 y sem. I 2023 y ajuste PACA Bogotá Siglo XXI 2020-2024. Creación y socializacion de drive para la captura de información para el reporte de PACA ante la Contraloría.</t>
    </r>
  </si>
  <si>
    <t>19. Implementación y seguimiento a las acciones orientados a recuperar, administrar y manejar ambientalmente los “Suelos de Protección por Riesgo no Mitigable” del Distrito Capital.</t>
  </si>
  <si>
    <r>
      <rPr>
        <u/>
        <sz val="9"/>
        <color theme="1"/>
        <rFont val="Arial"/>
        <family val="2"/>
      </rPr>
      <t xml:space="preserve">Suelos de Protección por Alto Riesgo no Mitigable-ARNM:
</t>
    </r>
    <r>
      <rPr>
        <sz val="9"/>
        <color theme="1"/>
        <rFont val="Arial"/>
        <family val="2"/>
      </rPr>
      <t>Durante la vigencia 2023, se tuvo acciones en: Participación 25 operativos de control de ocupaciones. Asistencia Comité de Seguimiento de las Medidas de Prevención y Mitigación de Riesgo - Sector Altos de la Estancia y a la Audiencia Pública-METTRAES Altos de la Estancia. Construcción Indicador producto 2.1.5. Acciones para reducir la vulnerabilidad en áreas de resiliencia climática y protección por riesgo, el cual forma parte de la Política Publica de Acción Climática Bogotá 2050. Reunión seguimiento Plan de Manejo Ambiental. Reunión Pacto Vida Digna Altos de la Estancia. Visita señalética ALES. Reuniones formulación, consolidación y definición actividades procedimiento para recibir en administración directa desde la Dirección de Gestión Ambiental los predios ubicados en zonas de ARNM, teniendo en cuenta la resolución SDA 4268 de 2022; para la respectiva aprobación se radicó memorando SDA2023IE49773 a la Dirección Legal Ambiental de la SDA. Dentro de las acciones desarrolladas están: Análisis de normativa aplicable al procedimiento, lineamientos específicos de responsabilidades por dependencia, ajuste a los anexos para recibo predios y ajuste al flujograma. Se formuló “Administrar los inmuebles ubicados de zonas catalogadas de alto riesgo no mitigable en el perímetro urbano de la ciudad, con el fin de realizar acciones de cuidado, protección, mantenimiento, pago de servicios públicos y vigilancia”, quedando aprobados los procedimientos PM03-PR52 y PM03-PR53. Reunión Interinstitucional proceso recibo de predios ARNM. Propuesta Acto Administrativo recibo de predios en ARNM. Participación Sesión de la CIPSSSA. Revisión propuesta reglam. art. 71 del POT decreto 555/2021. Instalación señalética ALES. Jornada plantación comunitaria. Visita preliminar prueba piloto entrega predios de CVP a SDA. Convocatoria PMA. Reglamentación art 71 POT 555/2021, mediante resolución conjunta SDA IDIGER 2296.</t>
    </r>
  </si>
  <si>
    <t xml:space="preserve">TOTAL </t>
  </si>
  <si>
    <t>Formato: Programación, Actualización y Seguimiento del Plan de Acción - Componente de  Territorialización</t>
  </si>
  <si>
    <t>Versión: 14</t>
  </si>
  <si>
    <t>7794 - Fortalecimiento de la gestión ambiental sectorial, el ecourbanismo y cambio climático en el D.C.Bogotá</t>
  </si>
  <si>
    <t>PERIODO:</t>
  </si>
  <si>
    <t>1 INFORMACIÓN META DE PROYECTO</t>
  </si>
  <si>
    <t xml:space="preserve">2, ACTUALIZACIÓN </t>
  </si>
  <si>
    <t>3,EJECUTADO</t>
  </si>
  <si>
    <t>4, LOCALIZACIÓN GEOGRÁFICA</t>
  </si>
  <si>
    <t>5, ORIENTACIÓN</t>
  </si>
  <si>
    <t>10. POBLACIÓN</t>
  </si>
  <si>
    <t>7, LECCIONES APRENDIDAS - OBSERVACIONES</t>
  </si>
  <si>
    <t>1,1 COD. META</t>
  </si>
  <si>
    <t>1,2, Meta Proyecto</t>
  </si>
  <si>
    <t>1,3. Identificación del punto de invesión</t>
  </si>
  <si>
    <t>1,4, Variable</t>
  </si>
  <si>
    <t>1, 5. PROGRAMACIÓN INICIAL AÑO 2023</t>
  </si>
  <si>
    <t>1.6.REPROGRAMACIÓN VIGENCIA</t>
  </si>
  <si>
    <t>Observaciones</t>
  </si>
  <si>
    <t>Observaciones y/o descripcion de acciones en el punto de inversión</t>
  </si>
  <si>
    <t>4,1 LOCALIDAD(ES)</t>
  </si>
  <si>
    <t>4.2 UPZ(S)</t>
  </si>
  <si>
    <t>4,3 BARRIO(S)</t>
  </si>
  <si>
    <t>4,4 GEORREFERENCIACIÓN</t>
  </si>
  <si>
    <t>4,5 ÁREA DE INFLUENCIA E INCIDENCIA</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</si>
  <si>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</si>
  <si>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</si>
  <si>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</si>
  <si>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</si>
  <si>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</si>
  <si>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</si>
  <si>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</si>
  <si>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</si>
  <si>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</si>
  <si>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</si>
  <si>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</si>
  <si>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</si>
  <si>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</si>
  <si>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LOCALIDADES: Mediante esta meta se emitirán determinantes ambientales en proyectos urbanos y arquitectónicos de diferentes escalas, así como a instrumentos de planeamiento urbano, promoviendo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</si>
  <si>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DISTRITAL</t>
  </si>
  <si>
    <t>DISTRITO CAPITAL</t>
  </si>
  <si>
    <t>1. Política Pública de Ecourbanismo y Construcción Sostenible, Política Distrital del Agua, Plan Distrital de Gestión del Riesgo de Desastres y del Cambio Climático – PDGRDCC.</t>
  </si>
  <si>
    <t>SIN DEFINIR</t>
  </si>
  <si>
    <t>Esta meta no realiza la definición de la población, dado que los determinantes ambientales se emiten en una etapa previa de diseño y formulación, por lo que no se tiene certeza de que el proyecto sea ejecutado, si sufrirá modificaciones y la población que será beneficiada finalmente,
 Esta meta es atendida por demanda, por lo que solo a finalizar cada mes se puede definir las zonas beneficiadas, la territorialización de la meta se realiza a escala de localidad, dado que  la incorporación de criterios de ecourbanismo y sostenibilidad ambiental en proyecto de infraestructura genera beneficios intrínsecos y complejos de definir su impacto, dado que no todos los proyectos incorporan los mismo determintes y requeriría de estudios especializados por cada proyecto, para calcular los beneficios ambientales y la población beneficiada, lo cual desborda lo programado en la meta.</t>
  </si>
  <si>
    <t>1-USAQUEN</t>
  </si>
  <si>
    <t xml:space="preserve">En la localidad de usaquén se ha emitido determinantes ambientales al diseño paisajistico contrato IDU 408 de 2021 CITA VUC 28843 DISEÑO PAISAJÑISTICO CL 170 CON KR 7 HACTA KR 8, Diseño paisajistico Edificio Uno 83,  promoviendo la construcción sostenible y el ecourbanismo en la ciudad., Legalización y Regularización de Barrios San Antonio Norte,  Legalización y Regularización de Barrios , Diseño de Detalle de Redes
Húmedas y Secas, Vías y Urbanismo del Proyecto Urbanístico “Plan Parcial no. 15 – Mazda Mavaia, HUB de Movilidad Plaza Calle 136, Infraestructura Educativa, predio Pierr de Fermat colegio Agustín Hernandez sedes A y B, Colegio General Santander, regularización Barrio Barrancas, legalziación Santa Cecilia Parte Alta I Sector, Aprobación del Diseño Paisajístico de la zona de cesión ZV1 del proyecto Parque Estructurante Ciudad La 
Salle, Aprobación del Diseño Paisajístico de las zonas de las franjas destinadas a antejardines, (áreas afectas al uso 
público) del proyecto ampliación Unicentro
</t>
  </si>
  <si>
    <t>1- USAQUÉN</t>
  </si>
  <si>
    <t xml:space="preserve">UPZ 1
UPZ 9
UPZ 10
UPZ 11
UPZ 13
UPZ 16
UPZ 14
UPZ 15
</t>
  </si>
  <si>
    <t xml:space="preserve">
SAN ANTONIO NORTE
LA ESTRELLITA I
TORCA I
SANTA BARBARA CENTRAL
ROCIO NORTE
SANTA TERESA
CASABLANCA SUBA
BARRANCAS
VERBENAL SAN ANTONIO
CAOBOS SALAZAR
LOS CEDROS
TIBABITA RURAL
SANTA BIBIANA
LA CITA
SAN GABRIEL NORTE
EL CONTADOR
BARRANCAS NORTE
LA CALLEJA
CEDRITOS
LISBOA
TIBABITA </t>
  </si>
  <si>
    <t>Shapefile tipo polígono</t>
  </si>
  <si>
    <t>REGULARIZACION SAN ANTONIO NORTE DENTRO TMI 2-Cerros - Limite Calera
REGULARIZACI{ON EL CODITO DENTRO TMI 2-Cerros - Limite Calera
PROYECTO Diseño paisajistico Edificio Uno 83
DENTRO TMI (2)  Cerros - Limite Calera
zonas de cesión del proyecto Urbanístico Rincón del Cedro Etapa 2 - Sajonia DENTRO TMI Cerros - Limite Calera
Regularización del desarrollo Soratama DENTRO TMI SAN CRISTÓBAL NORTE
Regularización San Antonio Norte II Sector DENTRO TPI VERBENAL</t>
  </si>
  <si>
    <t xml:space="preserve"> (Remitirse a carpeta denominada:</t>
  </si>
  <si>
    <t>SHP META 1_2023)</t>
  </si>
  <si>
    <t>DISPONIBLE EN EL SIGUIENTE ENLACE: DRIVE SDA</t>
  </si>
  <si>
    <t xml:space="preserve">https://drive.google.com/drive/u/1/folders/1ni390p2SPGzsHn8uJ2qsVs4DLWMzmCEf      </t>
  </si>
  <si>
    <t xml:space="preserve">                        </t>
  </si>
  <si>
    <t>CANDELARIA</t>
  </si>
  <si>
    <t xml:space="preserve">En la localidad de la candelaria se ha emitido determinantes ambientales al diseño paisajistico Parque La Candelaria,  promoviendo la construcción sostenible y el ecourbanismo en la ciudad. </t>
  </si>
  <si>
    <t>17-LA CANDELARIA</t>
  </si>
  <si>
    <t>UPZ94</t>
  </si>
  <si>
    <t>SANTA BARBARA</t>
  </si>
  <si>
    <t>2-CHAPINERO</t>
  </si>
  <si>
    <t xml:space="preserve">En la localidad de chapinero se ha emitido determinantes ambientales al diseño paisajistico contrato IDU 408 de 2021 CITA VUC 28630 AV CIRCUNVALAR DESDE CL 63 A CL 68, Actuación Estrategica Chapinero Verde, Contrato IDU-1811-2021 - Construcción de la carrera 14 entre calle 80 y 84bis, calle 82 entre carrera 13 y 15 y calle 84 bis entre carrera 13 y 15 y obras complementarias de la red peatonal Zona Rosa en Bogotá D.C., Urbanizacion Torres del Este, Contrato IDU-1521-2017 Estudios, Diseños y Construcción Red Peatonal Zona Rosa, Parque Vecinal Chico IDRD, Alameda 98 proyecto Urb. TAJ 97, Plan Parcial de Renovación Urbana Calle 72. Alameda 98 proyecto Urb. TAJ 97, promoviendo la construcción sostenible y el ecourbanismo en la ciudad. 
</t>
  </si>
  <si>
    <t>2- CHAPINERO</t>
  </si>
  <si>
    <t>UPZ 97
UPZ 99
UPZ 90
UPZ 88</t>
  </si>
  <si>
    <t>EL RETIRO
CHAPINERO CENTRAL
MARÍA CRISTINA
EL CHICÓ
EL BAGAZAL</t>
  </si>
  <si>
    <t>3- SANTA FE</t>
  </si>
  <si>
    <t xml:space="preserve">En la localidad de santa fé se ha emitido determinantes ambientales al diseño proyecto ecobarrios CENTROS POBLADOS Y BARRIO LA ROCA,  Contrato IDU-1319-2021. Elaboración de los estudios y diseños, para el corredor verde de la carrera 7 desde la calle 26 hasta la calle 32, Plan Parcial de Renovación Urbana calle 26, Plan Parcial de Renovación Urbana centro San bernardo,promoviendo la construcción sostenible y el ecourbanismo en la ciudad. </t>
  </si>
  <si>
    <t>3- SANTA FÉ</t>
  </si>
  <si>
    <t xml:space="preserve">UPZ 91
UPZ 93
UPZ 95
UPZ 96
</t>
  </si>
  <si>
    <t xml:space="preserve">SAN MARTIN
LAS NIEVES
LA ALAMEDA
SAN BERNARDO
LAS CRUCES
RAMIREZ
</t>
  </si>
  <si>
    <t>TMI  LAS CRUCES  CRUZA  PPRU CENTRO SAN BERNARDO</t>
  </si>
  <si>
    <t>4- SAN CRISTOBAL</t>
  </si>
  <si>
    <t xml:space="preserve">En la localidad de san cristobal se ha emitido determinantes ambientales al Actuación Estratégica 20 de julio, contrato IDU 408 de 2021 a Consorcio Espacio Público Gama cuyo objeto es"...EJECUCIÓN DE LAS ACTIVIDADES NECESARIAS PARA LA FINALIZACIÓN DE LA CONSTRUCCIÓN DE LAS OBRAS DE ESPACIO PÚBLICO GRUPO 1 EN BOGOTÁ DC, Reularización Granada Sur, formalizacion barrio Altamira, plan parcial bosques de san jose, diseño paisajistico Contrato 368 de 2022 , ecto Urbanístico Parque Zonal La Arboleda, Legalizacion Puente Colorado,   Contrato SDHT-CMA-019-2021. Revitalización Urbana Proyecto de AIP 20 de Julio, Contrato SDHT-CMA-019-2021. Revitalización Urbana Proyecto de AIP La Gloria, Contrato SDHT-CMA-019-2021. Revitalización Urbana Proyecto de AIP La Victoria, Zonas de Cesion Proyecto Mirador de la Reserva, CO1176-22SHD Esp Público para el cuidado, Acciones de mitigación de impactos ambientales Nodos de Equipamiento La Gloria y Altamira,  promoviendo la construcción sostenible y el ecourbanismo en la ciudad. </t>
  </si>
  <si>
    <t>4-SAN CRISTOBAL</t>
  </si>
  <si>
    <t xml:space="preserve">UPZ 32
UPZ 34
UPZ 51
UPZ 32
UPZ 50
</t>
  </si>
  <si>
    <t xml:space="preserve">
SURAMENRICA
LOS ALPES
PUENTE COLORADO
CHIGUAZA URBANO
BELLAVISTA SUR
GRANADA SUR
20 DE JULIO
LOS LIBERTADORES
MORALBA
LAS GAVIOTAS
BUENOS AIRES
VEINTE DE JULIO
LAS MERCEDES
LA GLORIA ORIENTAL
LA VICTORIA
ALTAMIRA
</t>
  </si>
  <si>
    <t xml:space="preserve">
Contrato SDHT-CMA-019-2021. Revitalización Urbana Proyecto de AIP 20 de Julio, Contrato SDHT-CMA-019-2021. Revitalización Urbana Proyecto de AIP La Victoria, Zonas de Cesion Proyecto Mirador de la Reserva DENTRO TMI (1) Cable San Cristóbal
LEGALIZACIÓN BARRIO PUENTE COLORADO DENTRO  TMI 1-Cable San Cristóbal
Plan parcial bosques de san jose dentro TMI (1) Cable San Cristóbal
formalizacion barrio Altamira
DENTRO TMI (1) Cable San Cristóbal
contrato IDU 408 de 2021 Cita VUC 29299 DENTRO TMI (1) Cable San Cristóbal
ACTUACIÓN ESTRATÉGICA 20 DE JULIO DENTRO TMI (1) Cable San Cristóbal
LEGALIZACION SORATAMA dentro TMI (1) Cable San Cristóbal
PROYECTO PPD BOSQUES DE SAN JOSÉ CRUZA CON TMI LOS LIBERTADORES
TMI SAN BLAS CRUZA CON PROYECTO DISEÑO PAISAJÍSTICO BUENOS AIRES
DISEÑO PAISAJÍSTICO PROYECTO 20 DE JULIO DENTRO TPI 20 DE JULIO
Regularización Barrio Buenos Aires DENTRO DE TPI SAN BLAS
Proyecto Revitalización urbana en la localidad 04
DENTRO TMI LA GLORIA
Proyecto Contrato IDU 1630 de 2020, Diseños Cable Aéreo San Cristóbal
DENTRO TMI Cable San Cristóbal
Legalización y regularización Barrio MIRAFLORES DENTRO TMI Cable San Cristóbal</t>
  </si>
  <si>
    <t>(Remitirse a carpeta denominada:</t>
  </si>
  <si>
    <t>5-USME</t>
  </si>
  <si>
    <t xml:space="preserve">En la localidad de usme se ha emitido determinantes ambientales al Formalización Danubio Azul,  Plan parcial de desarrollo usme 66 ladrillera alamana, Legalizacion del barrio San Blas III Sector, Urbanización Ciudad Nuevo Milenio I Etapa VII, Urbanización Ciudad Nuevo Milenio I Etapa V, Legalizacion y regularizacion de barrios Santa Marta Vereda Tunjuelito, Zonas de Cesion Los Colores de Bolonia , Cantarrana Hills, Diseño Paisajístico de las Acciones de Acupuntura Urbana priorizadas por la Secretaría Distrital del Hábitat (SDHT) mediante el Contrato de Obra No. 1070- 2022. promoviendo la construcción sostenible y el ecourbanismo en la ciudad. </t>
  </si>
  <si>
    <t>5- USME</t>
  </si>
  <si>
    <t xml:space="preserve">UPZ57
UPZ58
UPZ56
</t>
  </si>
  <si>
    <t>LA CABANA
BARRANQUILLITA
EL NEVADO
YOMASA NORTE
PORVENIR</t>
  </si>
  <si>
    <t>PROYECTO Zonas de Cesion Los Colores de Bolonia  DENTRO TMI  
(8) Usme Urbano Rural
Regularización Santa Marta Vereda Tunjuelito DENTRO TMI  
(8) Usme Urbano Rural
 Formalización Danubio Azul DENTRO TMI (8) Usme Urbano Rural</t>
  </si>
  <si>
    <t>6-TUNJUELITO</t>
  </si>
  <si>
    <t xml:space="preserve">En la localidad de tunjuelito se ha emitido determinantes ambientales al Barrio Vital San Carlos, Diseño Paisajistico Torre de Urgencias Hospital El Tunal,  Infraestructura Educativa predio para Restitución: CPF 
616 – SAN BENITO ABAD SEDE B SAN BENITO, Infraestructura Educativa, Arborizadora Baja CPF 1904, Diseño paisajistico Jardinería Urbana Tunjuelito, promoviendo la construcción sostenible y el ecourbanismo en la ciudad. </t>
  </si>
  <si>
    <t xml:space="preserve">
UPZ 62
UPZ 42
</t>
  </si>
  <si>
    <t xml:space="preserve">
SANTA LUCIA
SAN CARLOS
TUNAL ORIENTAL
</t>
  </si>
  <si>
    <t xml:space="preserve">
PROYECTO JARDINERIA URNABA TUNJUELITO DENTRO TMI Rafael Uribe - Tunjuelito
 Barrio Vital San Carlos DENTRO MACROTERRITORIO (6) Rafael Uribe - Tunjuelito
TMI TUNJUELITO (Contrato de obra IDU 1639/2019)</t>
  </si>
  <si>
    <t>7- BOSA</t>
  </si>
  <si>
    <t>En la localidad de bosa se ha emitido determinantes ambientales al Diseño Paisajistico Senderos de Madelena,  plan parcial de desarrollo eden el descanso, Legalización la Independencia Montecarlo, Infraestructura Educativa- PREDIO JARDIN II, Plan Parcial Bosa 37, Legalizacion El Remanso II, Regularizacion La Vega II ,Plan Parcial Palestina UG3 , Contrato IDU-1543-2018 Construcción Avenida Guayacanes Grupo 1, Zonas de cesión del proyecto Urbanización Bosques del Mediterráneo - Controles Ambientales - RES 11001-3-19-2144, Zonas de cesión del proyecto Urbanización Bosques del Mediterráneo - Controles Ambientales RES 11001-3-19-2349, Diseño Paisajistico Proyecto 524 de 2022, Urbanización Valenti</t>
  </si>
  <si>
    <t>7-BOSA</t>
  </si>
  <si>
    <t xml:space="preserve">UPZ 85
UPZ 84
UPZ 87
UPZ 49
UPZ 86
UPZ 83
</t>
  </si>
  <si>
    <t xml:space="preserve">
PASO ANCHO
REMANSO I
ISLANDIA
LA INDEPENDENCIA
ESCOCIA
EL JARDÍN
REMANSO URBANO
VILLA DEL RÍO
CEMENTERIO JARDINES APOGEO
S.BERNARDINO XVIII
PARCELA EL PORVENIR
NUEVA GRANADA BOSA
BRASIL
OSORIO XII
EL JARDIN
GUALOCHE
PASO ANCHO
 OSORIO X URBANO
CAÑAVERALEJO
</t>
  </si>
  <si>
    <t xml:space="preserve">
PROYECTO Zonas de cesión del proyecto Urbanización Bosques del Mediterráneo - Controles Ambientales RES 11001-3-19-2349 dentro TMI (4) Kennedy - Bosa
LEGALIZACIÓN REMANSO II Y REGULARIZACION LA VEGA II  DENTRO TMI 4-Kennedy - Bosa
Plan Parcial Palestina UG3 DENTRO TMI 4- Kennedy - Bosa
Legalización Montecarlo DENTRO TMI (4) Kennedy - Bosa    
PLAN PARCIAL DE DESARROLLO EDEN EL DESCANSO PROYECTO DENTRO TPI BOSA OCCIDENTAL
DIS PAISAJ ZONA CESION URB. Parques de Bosa PROYECTO DENTRO TPI BOSA CENTRAL
DP CL 54 SUR CON KR 88 C ACCION POPULAR 2013-00367 PROYECTO DENTRO DENTRO TPI  BOSA OCCIDENTAL
LEGALIZACIÓN La Independencia Montecarlo dentro  DENTRO TMI (4) Kennedy - Bosa
Desarrollo San José La Huerta PROYECTO DENTRO TPI BOSA CENTRAL
PRM Unidad de Protección Integral UPI BOSA DENTRO TPI BOSA CENTRAL
DP Parque Desarrollo Palestina DENTRO TPI BOSA CENTRAL
DP zonas cesión Urb. Bosa DENTRO TMI Kennedy - Bosa</t>
  </si>
  <si>
    <t>8-KENNEDY</t>
  </si>
  <si>
    <t xml:space="preserve">En la localidad de kennedy se ha emitido determinantes ambientales al diseño paisajistico contrato IDU 408 de 2021 CITA VUC 27361 DISEÑO PAISAJÍSTICO SEMAFORIZACIÓN AV AGOBERTO MEJÍA CON CL 38 SUR, Diseño Paisajistico Contrato IDU No 929 – 2020, Diseño Paisajistico Proyecto Santa Catalina, Área de cesión Resolución CU1K44 / 4-14, Diseño paisajístico de parques y zonas verdes Urbanización Timiza , Diseño Paisajistico Sembrando Comun-idad, Actuacion Estrategica El Porvenir, Contrato SDH 1070 de 2022 Acupuntura Urbana, Proyecto Urbanistico Bosconia, Diseño Paisajístico de la zona de cesión V-4E (1B) del proyecto San Bernardo, promoviendo la construcción sostenible y el ecourbanismo en la ciudad. </t>
  </si>
  <si>
    <t xml:space="preserve">
UPZ 82
UPZ 79
UPZ 81
UPZ 47
UPZ 46
UPZ 113
UPZ 80
UPZ 86
UPZ 48
UPZ 44
</t>
  </si>
  <si>
    <t xml:space="preserve">
PATIO BONITO
DINDALITO
GALAN
TIMIZA B
JORGE URIBE BOTERO
VERGEL ORIENTAL
MARSELLA
CIUDAD KENNEDY NORTE
CASA BLANCA SUR
VILLA NELLY III SECTOR
OSORIO XXIII
RENANIA URAPANES
HIPOTECHO SUR
 EL VERGEL ORIENTAL
CIUDAD TECHO II
</t>
  </si>
  <si>
    <t xml:space="preserve">
PROYECTO Contrato SDH 1070 de 2022 Acupuntura Urbana DENTRO TMI (4) Kennedy - Bosa
Actuacion Estrategica El Porvenir DENTRO TMI (4) Kennedy - Bosa
proyecto Área 
de cesión Resolución CU1K44 / 4-14
DENTRO TMI (4)  Kennedy - Bosa
PROYECTO Aislamientos desarrollo urbanístico DENTRO TMI Kennedy - Bosa
</t>
  </si>
  <si>
    <t>9- FONTIBÓN</t>
  </si>
  <si>
    <t xml:space="preserve">En la localidad de fontibón se ha emitido determinantes ambientales al diseño paisajistico parque 2 y 3, actuacion estrategica Chucua  La Vaca,  Actuación Estrategica Aeropueto Fontibon, Plan de Implantación Centro de Diagnóstico Automotor Cale Fontibón -Clase D, Parque Bonaire Salamanca reservado, Fontibón Reservado - Área de Cesión CU1F379/4-22, Proyecto Navarra, Urbania BIO, Zonas de cesión Controles Ambientales y Zonas Verdes PPRU Montevideo, Proyecto Bonaire Fontibon,  Sede operativa y subestación eléctrica Fontibón ENEL-CODENSA, Plan Parcial de Renovación Urbana Montevideo, Urbanización Parque Central Fontibón, Bonaire Salamanca, Urbanización Sauces Villemar ,  Urbanización Bellaluna, Actualización del Plan Parcial de Renovación Urbana Montevideo Cuatro Vientos, regulariación Puente Grande Florencia,  Zonas de cesión del proyecto Urbanización Ensueño I, Áreas de cesión para vías locales de la Urbanización El 
Chanco III, promoviendo la construcción sostenible y el ecourbanismo en la ciudad. </t>
  </si>
  <si>
    <t xml:space="preserve">UPZ 76
UPZ 110
UPZ 114
UPZ 117
UPZ 115
UPZ 77
UPZ 112
UPZ 75
</t>
  </si>
  <si>
    <t xml:space="preserve">
SAN PABLO JERICO
BELEN FONTIBON
VILLEMAR
LA ESPERANZA NORTE
SANTA CECILIA
EL CHANCO ISAN PABLO JERICO
EL CHANCO I
BRISAS ALDEA FONTIBON
MONTEVIDEO
FERROCAJA FONTIBON
LA LAGUNA FONTIBÓN
VILLA ALSACIA
CAPELLANÍA
EL TINTAL CENTRAL
LOS ALAMOS
CIUDAD HAYUELOS
SAN PABLO JERICO
ZONA FRANCA
SABANA GRANDE
EL VERGEL
PUERTA DE TEJA
</t>
  </si>
  <si>
    <t>10-ENGATIVÁ</t>
  </si>
  <si>
    <t xml:space="preserve">En la localidad de engativá se ha emitido determinantes ambientales al diseño paisajistico contrato IDU 933 de 2016, contrato IDU 408 de 2021, Actuación Estrategica Aeropuesto Engativa, Parque Urbanización Habitat 113, Contrato IDU-1778-2021. Estudios, diseños del nuevo ciclopuente peatonal localizado en la Avenida Boyacá con Canal Salitre y su conexión con el espacio público existente, en Bogotá D.C. Urbanización Carfall, Universidad Unipanamericana Sede Av 68,  Contrato IDU-1619-2019 Estudios, Diseños y Construcción Mejoras Geométricas Portal 80,Urbanizacion Onix,  Cesión de franja de control ambiental del proyecto para la Fundación Universitaria Compensar Sede Avenida 68, Diseño Paisajístico de las zonas de cesión de los proyectos 63 living aparta estudios y 53 Living Aparta estudios, promoviendo la construcción sostenible y el ecourbanismo en la ciudad. </t>
  </si>
  <si>
    <t>10-ENGATIVA</t>
  </si>
  <si>
    <t xml:space="preserve">UPZ 72
UPZ 26
UPZ 74
UPZ 73
UPZ 116
UPZ 29
UPZ 116
UPZ 105
</t>
  </si>
  <si>
    <t xml:space="preserve">
BOCHICA II
BELLAVISTA OCCIDENTAL
EL DORADO INDUSTRIAL
GARCES NAVAS ORIENTAL
CENTRO ENGATIVA II
VILLA GLADYS
LOS CEREZOS
AUTOPISTA MEDELLÍN
EL DORADO INDUSTRIAL
ALAMOS
SAN IGNACIO
CENTRO ENGATIVA II
CAMPO EUCARISTICO
BOLIVIA
BOYACÁ
JARDÌN BOTÁNICO
</t>
  </si>
  <si>
    <t>Actuación Estrategica Aeropuesto Engativa DENTRO TMI  (7) Suba - Engativa
Diseño Paisajístico de las zonas de cesión del proyecto JABOQUE RESERVADO DENTRO TMI Suba - Engativa
TMI ENGATIVÁ CRUZA CON DISEÑO PAISAJÍSTICO PROYECTO URBANÍSTICO ÁREA OCCIDENTE</t>
  </si>
  <si>
    <t>11-SUBA</t>
  </si>
  <si>
    <t xml:space="preserve">En la localidad de suba se ha emitido determinantes ambientales al Diseño paisajístico del Parque Lineal Ambiental de Suba, Diseño Paisajístico de las zonas de cesión del proyecto desarrollo urbanístico Altamira Torreladera,  Andén Carrera 104 C.C. Plaza Imperial, Contrato IDU-1782-2021 - Ejecutar a precios unitarios las obras y actividades necesarias para la conservación de espacio público y ciclorutas en Bogotá D.C. Grupo 3, Infraestructura Educativa, IED HUNZA, Sede B - Divino Niño Jesús El Condor CPF 1119,  Proyecto Parques Vecinales, Urbanización EL TOMILLAR , Infraestructura Educativa, IED Hunza sede A- la Aguadita CPF1110, Conservacion de Espacio Público y Ciclorrutas Grupo 1, Diseños paisajísticos del proyecto Hospital CTIC 730 E, Diseños paisajísticos del proyecto Hospital CTIC 730 f, Aprobación del Diseño Paisajístico de las zonas de cesión del proyecto Icata 2, promoviendo la construcción sostenible y el ecourbanismo en la ciudad. </t>
  </si>
  <si>
    <t>UPZ 25
UPZ 28
UPZ 18
UPZ 20
UPZ 27
UPZ 2
UPZ 23
UPZ 72
UPZ 71
UPZ 3
UPZ 17
UPZ 24</t>
  </si>
  <si>
    <t xml:space="preserve">
CIUDAD HUNZA
 EL PLAN
PINOS DE LOMBARDIA
RINCÓN DE SANTA INÉS
SUBA CERROS
CLUB DE LOS LAGARTOS
PUERTA DEL SOL
VILLA HERMOSA 
PUENTE LARGO
GRANADA NORTE
PRADO VERANIEGO SUR
VILLA ALCAZAR
EL POA
CASABLANCA SUBA URBANO
BOCHICA II
SABANA DE TIBABUYES
BRITALIA
CASABLANCA SUBA I
TUNA BAJA
CAMPANELLA
CASABLANCA SUBA
TIBABUYES
PORTALES DEL NORTE
GILMAR
SUBA URBANO
SAN JOSE V SECTOR
SAN JOSE DE BAVARIA
ALMIRANTE COLON
RINCON ALTAMAR
VEREDA SUBA
</t>
  </si>
  <si>
    <t xml:space="preserve">
Infraestructura Educativa, IED Hunza sede A- la Aguadita CPF1110 DENTRO TMI Suba - Engativa
Diseño Paisajístico de las zonas de cesión del proyecto desarrollo urbanístico Altamira Torreladera DENTRO TMI (7)
Suba - Engativa
Diseño paisajístico del Parque Lineal Ambiental de Suba DENTRO TMI (7)
Suba - Engativa
Diseño paisajístico del Contrato IDU 1552 de 201 PROYECTO DENTRO TPI SUBA
DISEÑO PAISAJÍSTICO PARQUR FONTANA PROYECTO DENTRO TPI SUBA 
DIS PAISAJ CAMPO PREDIO EL CAMPITO PROYECTO DENTRO TPI TIBABUYES 
DIS PAISAJ ZONA CESIÓN PROY Punta del Este PROYECTO DENTRO TPI EL RINCÓN 
DP zonas cesión proyecto PP Bosque Sabana PROYECTO DENTRO TPI SUBA
Diseño Paisajístico del CPS 477/2020 PROYECTO DENTRO TPI SUBA
DP puente peatonal de la Av. Suba PROYECTO  DENTRO TPI SUBA
DP ZONAS DE CESIÓN PROYECTO ZIMA PROYECTO DENTRO TPI SUBA
Regularización Rincón de Suba PROYECTO DENTRO TPI EL RINCON
Proyecto Formalización Tuna Alta Sector Rosal
DENTRO TPI SUBA
Proyecto Formalización Tuna Alta Sector El Rosal
DENTRO TPI SUBA
</t>
  </si>
  <si>
    <t>12-BARRIOS UNIDOS</t>
  </si>
  <si>
    <t xml:space="preserve">En la localidad de barrios unidos se ha emitido determinantes ambientales a la actuación estrategica calle 72,  diseño paisajistico Proyecto Manzana 3, Complejo de Entrenamiento Deportivo Sector Palacio de los Deportes, Edificio de Bienestar, sede Quinta Mutis – Universidad del Rosario, Actuaión estrategica Rio Negro, Diseño Paisajístico para la plantación de individuos arbóreos en el Parque Los Novios, promoviendo la construcción sostenible y el ecourbanismo en la ciudad. </t>
  </si>
  <si>
    <t>UPZ 21
UPZ 103
UPZ 22
UPZ 98</t>
  </si>
  <si>
    <t xml:space="preserve">QUINTA MUTIS
PARQUE DISTRITAL SALITRE
PARQUE POPULAR SALITRE
ESCUELA MILITAR
POPULAR MODELO
JOSÉ JOAQUÍN VARGAS
LA ESPERANZA
</t>
  </si>
  <si>
    <t>13-TEUSAQUILLO</t>
  </si>
  <si>
    <t xml:space="preserve">En la localidad de teusaquillo se ha emitido determinantes ambientales al Diseño paisajístico de las zonas de cesión del proyecto urbanización Lote D, actuación estrategica Campin 7 de agosto,  Plan de Implantación Ciudad Sanitaria Universitaria Sanitas, Conservacion de Espacio Público y Ciclorrutas Grupo 1, Torres del Este, promoviendo la construcción sostenible y el ecourbanismo en la ciudad. </t>
  </si>
  <si>
    <t xml:space="preserve">UPZ 100
UPZ 109
UPZ 104
UPZ 101
UPZ 107
</t>
  </si>
  <si>
    <t>GALERIAS
CIUDAD SALITRE SUR-ORIENTAL
CENTRO ADMINISTRATIVO OCC.
CAMPO EUCARISTICO
FLORIDA
ORTEZAL
CIUDAD SALITRE NOR-ORIENTAL</t>
  </si>
  <si>
    <t>14- LOS MARTIRES</t>
  </si>
  <si>
    <t xml:space="preserve">En la localidad de los martires se ha emitido determinantes ambientales al Actuación Estratégica reencuentro, proyecto especial CALLE 26, COSTADO OCCIDENTAL DEL CEMENTERIO CENTRAL DE BOGOTÁ, Plan Parcial de Renovación Urbana Calle 24,  Diseño Paisajistico Reurbanización Madrugón Naos calle 13, Diseño paisajistico contrato 460 de 2022 concurso de méritos IDPC-CMA-001-
2022. Zonas de cesión del contrato de obra 171-2022 FDL Mártires, PPRY Estación Metro Calle 26,  Plan Parcial de Renovación Urbana calle 24, alcaldía Mártires,promoviendo la construcción sostenible y el ecourbanismo en la ciudad. </t>
  </si>
  <si>
    <t>14-LOS MARTIRES</t>
  </si>
  <si>
    <t>UPZ 102</t>
  </si>
  <si>
    <t>SANTA FÉ
LA SABANA
PALOQUEMAO</t>
  </si>
  <si>
    <t>15- ANTONIO NARIÑO</t>
  </si>
  <si>
    <t xml:space="preserve">En la localidad de antonio nariño se ha emitido determinantes ambientales al Diseño paisajístico Estudios y diseños detallados para la renovación de redes de acueducto, alcantarillado pluvial y sanitario de las UGAS 196, 198, 199 y sectores asociados. Ubicados en el área de cobertura de la Zona 3 de la EAAB-ESP.,  promoviendo la construcción sostenible y el ecourbanismo en la ciudad. </t>
  </si>
  <si>
    <t>15-ANTONIO NARIÑO</t>
  </si>
  <si>
    <t>UPZ 35
UPZ 38</t>
  </si>
  <si>
    <t xml:space="preserve">LA HORTUA
SANTANDER SUR
RESTREPO
</t>
  </si>
  <si>
    <t>16-PUENTE ARANDA</t>
  </si>
  <si>
    <t xml:space="preserve">En la localidad de puente aranda se ha emitido determinantes ambientales a la actuacion estrategica ZIBO Zona Industrial,  Infraestructura Educativa, Colegio José Joaquin Casas IED CPF 1608-1635, contrato No. 184 de 2018, Construcción de la intersección a desnivel de Puente Aranda y demás obras complementarias, correspondiente a las obras de adecuación al Sistema Transmilenio de la Troncal Calle 13 en Bogotá D.C., Lote 1 promoviendo la construcción sostenible y el ecourbanismo en la ciudad. </t>
  </si>
  <si>
    <t xml:space="preserve">UPZ111
UPZ 108
UPZ 43
UPZ 40
UPZ 41
</t>
  </si>
  <si>
    <t xml:space="preserve">
PUENTE ARANDA
EL EJIDO
 PENSILVANIA
INDUSTRIAL CENTENARIO
SAN RAFAEL INDUSTRIAL
COMUNEROS
ALQUERIA
TIBANA
SAN EUSEBIO
</t>
  </si>
  <si>
    <t>18-RAFAEL URIBE URIBE</t>
  </si>
  <si>
    <t xml:space="preserve">En la localidad de rafael uribe uribe se ha emitido determinantes ambientales al Diseño paisajístico de las zonas de cesión del proyecto o urbanismo BOSQUES DEL
COUNTRY,  Diseño Paisajistico Bosques del Country, Regularizacion La Reconquista, Infraestructura Educativa, Colegio el Libertador CPF1812, plan parcial de desarrollo el consuelo, La cumbre Sector Arrayanes, San Ignasio III, El Portal, DISEÑO PAIsajistico Proyecto 1667,  BCS proyecto Parque Hacienda los Molinos, REGULARIZACIÓN Sierra Morena,  promoviendo la construcción sostenible y el ecourbanismo en la ciudad. </t>
  </si>
  <si>
    <t xml:space="preserve">
UPZ 36
UPZ 54
UPZ 39
UPZ 55
UPZ 53
</t>
  </si>
  <si>
    <t xml:space="preserve">
ARBOLEDA SUR
LA PICOTA ORIENTAL
LIBERTADOR
SAN LUIS
CERROS DE ORIENTE
LIBERTADOR
ARBOLEDA SUR
QUIROGA I
QUIROGA CENTRAL
QUIROGA
PALERMO SUR
CERROS DE ORIENTE
SAN AGUSTIN
LA RESURRECCIÓN
</t>
  </si>
  <si>
    <t xml:space="preserve">PLAN PARCIAL DE DESARROLLO EL CINSUELO  DENTRO TMI 6-Rafael Uribe - Tunjuelito
REGULARIZACIÓN BARRIO LA RECONQUISTA DENTRO TMI 6-Rafael Uribe - Tunjuelito
PLAN PARCIAL DESARROLLO EL CONSUELO PROYECTO DENTRO TMI MARRUECOS
DISEÑO PISAJ Urbanización Zarazota I (18-038) PROYECTO DENTRO TMI MARRUECOS
DISEÑO PISAJ Urbanización Zarazota I (18-180) PROYECTO DENTRO TMI MARRUECOS
DIS PAISAJ Desarrollo Palermo Sur PROYECTO DENTRO TMI DIANA TURBAY
DISEÑO PAISAJÍSTICO PARQUE COD 18-326 PROYECTO DENTRO TMI MARRUECOS 
Contrato IDU 1599 de 2019 PROYECTO DENTRO TMI DIANA TURBAY 
DP zonas cesión Urb.ALAMEDA DE SAN JORGE PROYECTO DENTRO TMI MARCO FIDEL SUAREZ
PLAN PARCIAL DESARROLLO EL CONSUELO DENTRO TMI MARRUECOS
</t>
  </si>
  <si>
    <t>19- CIUDAD BOLIVAR</t>
  </si>
  <si>
    <t xml:space="preserve">En la localidad de ciudad bolivar uribe se ha emitido determinantes ambientales al actuación estrategica reverdecer del sur, diseño paisajistico estancia 70,  Diseño paisajistico Area de cesion Resolucion CU1 CB 137_4-02, Legalización Barrio Manitas,  formalización desarrollo San Isidro sector Cerrito I, Legalización de barrio Vista Hermosa Lucero Alto, Legalización de barrio Primavera Azul, PREDIOS AMPLIACIÓN COLEGIO CANADÁ CPF 1908., Parque Maria Cano, Regularización Desarrollo Arabia, Regularización Villas de Bolivar II Sector, La Union Divino Niño y diseños paisajísticos Atardeceres de Madelena II, Parque Maria Cano, Atardeceres de Madelena I y Caracolí, Regularizacion de Barrios Esmeralda Sur, Divino Niño Sector La Colina/Villas de San Joaquin, Buenos Aires A S D, Diseños paisajistico Buenos Aires A S D, Barlovento – Bonavento (Autopista Sur), Modificación de diseño paisajístico de seis (6) parques, una (1) rotonda, tres (3) franjas de control ambiental, dos 
(2) separadores y andenes. perteneciente a la Urb. El Ensueño I, MIRADOR EL PARAÍSO A. MIRADOR DEL PARAÍSO B Y EL MIRADOR 3, EN LA LOCALIDAD DE CIUDAD BOLÍVAR, UPZ 67 LUCERO - CONSTRUCCIÓN DE OBRAS DEL TRAMO 1, promoviendo la construcción sostenible y el ecourbanismo en la ciudad. </t>
  </si>
  <si>
    <t xml:space="preserve">
UPZ 67
UPZ 69
UPZ 70
UPZ 65
UPZ 69
UPZ 68
</t>
  </si>
  <si>
    <t xml:space="preserve">
MARIA CANO
CORDILLERA DEL SUR
EL PEÑON DEL CORTIJO
BELLA FLOR SUR
NACIONES UNIDAS
RINCON DE LA VALVANERA
JUAN PABLO II
LA ALAMEDA
BRISAS DEL VOLADOR
VERONA
LA ESTANCIA
RAFAEL ESCAMILLA
SANTA VIVIANA
ARABIA
PARAISO QUIBA
MADELENA
SIERRA MORENA
BARLOVENTO
PARAISO QUIBA
</t>
  </si>
  <si>
    <t xml:space="preserve">
PROYECTO DISEÑO PAISAJISTICO PARQUE MARIA CANO DENTRO TMI (3) Ciudad Bolivar Urbano Rural
Legalización Barrio Manitas
DENTRO TMI (3) Ciudad Bolivar Urbano Rural
formalización desarrollo San Isidro sector Cerrito I DENTRO TMI (3) Ciudad Bolivar Urbano Rural
proyecto Atardeceres de madelena I DENTRO TMI Ciudad Bolivar Urbano Rural
PROYECTO Contrato Consultoría No. 1618 de 2019 DENTRO TMI (3) Ciudad Bolivar Urbano Rural
DISEÑO PAISAJÍSTICO TANQUE EL VOLADOR EAAB PROYECTO DENTRO TPI LUCERO
DISEÑO PAISAJ FRANJA AMB U DISTRITAL EL ENSUEÑO PROYECTO DENTRO TPI JERUSALEN
DIS PAISAJ ZONAS CESIÓN TORRES DE PORTAL PROYECTO DENTRO TPI ISMAEL PERDOMO 
DETERMINANTES PROYECTO Contrato CVP 415 de 2021 PROYECTO DENTRO TPI ISMAEL PERDOMO
DESARROLLO LEGALIZADO ARABIA PROYECTO DENTRO TPI EL TESORO
DP Acupuntura Urbana Grupo B PROYECTO DENTRO TPI LUCERO
DP MIRADOR DE SIERRA MORENA PROYECTO DENTRO TPI ISMAEL PERDOMO
Proyecto DP MIRADOR DE SIERRA MORENA
DENTRO TPI ISMAEL PERDOMO
Determinantes ambientales para uso de vivienda en Suelo Restringido predios con chip chip AAA0017WFHK y AAA0017WOYX 
DENTRO TMI Ciudad Bolívar Urbano Rural
CONTRATO 995-2021 intervencion Segmentos viales
DENTRO TMI Ciudad Bolivar Urbano Rural</t>
  </si>
  <si>
    <t>DISTRITAL (Por Ejecutar)</t>
  </si>
  <si>
    <t>TOTAL LOCALIZACIONES META</t>
  </si>
  <si>
    <t>LOCALIDADES:La Secretaría Distrital de Ambiente ha realizado importantes esfuerzos incorporando criterios de ecourbanismo y construcción sostenible en proyectos urbanos y arquitectónicos en la Ciudad, por lo cual mediante esta meta se realiza la verificación en la incorporación de los lineamientos y determinantes ambientales de ecourbanismo y construcción sostenible a proyectos de infraestructura que actualmente están en operación, evaluando su aporte a las políticas nacionales y distritales que rigen en esta materia y su aporte a la gestión de la crisis climática; así mismo, esta verificación permitirá conocer las dificultades por parte del sector construcción en la incorporación de estos criterios, permitiendo que desde la administración distrital genere estrategias para promover y fortalecer la construcción sostenible en la Ciudad.</t>
  </si>
  <si>
    <t>Santa Fé, Chapinero, Ciudad Bolivar, San Cristobal, Bosa, Engativá, Barrios Unidos, Teusaquillo, Usaquén Kennedy, Suba, Rafael Uribe, Tunjuelito, Fontibón, puente aranda</t>
  </si>
  <si>
    <t>Durante la actual vigencia en la localidad de Usaquén, se verifico la incorporación de incorporación de los lineamientos y determinantes ambientales de ecourbanismo y construcción sostenible, a WR 487 A Modificación Diseño Paisajístico Contrato de obra CVP No. 611 de 2015, WR 813 Diseño Paisajístico parque vecinal urbanización el Toberin COD 01-079, WR 814 Diseño Paisajístico Proyecto Parque vecinal Santa Cecilia Alta, WR 553A Modificación del diseño paisajístico del Contrato IDU-1838-2015 “Complementación o actualización o ajustes de estudios y diseños y construcción del puente vehicular de la Avenida San Antonio (Calle 183) con Autopista Norte, costado sur, en Bogotá D.C.”, WR 662 DISEÑO PAISAJISTICO LAYA 119, Plan de Implantación Terminal de transportes de pasajeros del Norte, WR 1044 Revisión y aprobación del diseño de jardinería en la localidad de Usaquén Av Calle 127 con carrera 9 y 11, WR 1050 Diseño Paisajístico para la reconformación del andén en el proyecto San Remo III, WR 1100 Diseño paisajístico del proyecto renovación Edificio Concord Center 122 PH, WR 50 Diseño Paisajístico Edificio Country 147, WR 704A Diseño Paisajistico parque urbanizacion Las Areneras, WR 716 Parque Urbanización Terrazze Park 183, WR09 Parque Támesis, WR 176 Parque Residencial San Cayetano</t>
  </si>
  <si>
    <t xml:space="preserve">
UPZ 13
UPZ 16
UPZ 9
UPZ 10
UPZ 12
UPZ 1
UPZ 14
UPZ 15
</t>
  </si>
  <si>
    <t xml:space="preserve">SAN ANTONIO NOROCCIDENTAL EL ROCIO NORTE 
CEDRO SALAZAR
BOSQUE DE PINOS III
SANTA BARBARA CENTRAL
EL CONTADOR
SANTA BARBARA OCCIDENTAL
SANTA CECILIA PUENTE NORTE
HORIZONTES NORTE
TOBERÍN
TIBABITA RURAL
SANTA BIBIANA
LA CITA
SAN GABRIEL NORTE
VERBENAL SAN ANTONIO
BARRANCAS NORTE
SANTA TERESA
LA CALLEJA
SANTA BARBARA
HORIZONTES
</t>
  </si>
  <si>
    <t>Diseño Paisajístico Contrato de obra CVP No. 611 de 2015 DENTRO MACROTERRITORIO (2) Cerros - Limite Calera
Regularización del desarrollo Soratama DENTRO TMI SAN CRISTÓBAL NORTE
Regularización San Antonio Norte II Sector DENTRO TPI VERBENAL</t>
  </si>
  <si>
    <t>SHP META 2_2023)</t>
  </si>
  <si>
    <t>Durante la actual vigencia en la localidad de Chapinero, se verifico la incorporación de incorporación de los lineamientos y determinantes ambientales de ecourbanismo y construcción sostenible, a WR 562A Aprobación diseño paisajístico urbanización Sierras del Este, WR 808 Diseño Paisajístico Proyecto Andenes Salvio 93, WR 816 Diseño Paisajístico  Proyecto Puente Peatonal Colegio Nueva Granada, WR 802B Revisión y aprobación de la modificación del Diseño Paisajístico Contrato IDU No. 1534 de 2018, WR 956 Diseño Paisajístico OFFICITY 93, WR 677 Diseño Paisajístico Intervención de Andenes Edificio Calle 100, WR 745 Balance de zonas verdes y propuesta de mejoramiento de la ZMPA de la Quebrada Los Rosales Av. Circunvalar con CL 74, WR 1075 Diseño Paisajístico Andenes Proyecto Edificio Área 98, WR 735 Diseño paisajístico Andenes proyecto ECOTEK 99. Acta SDA/JBB WR 735 de 2018, WR 17 Diseño paisajistico proyecto Oqyana., WR 171 Anden Universidad Javeriana</t>
  </si>
  <si>
    <t xml:space="preserve">
UPZ 97
UPZ 88
</t>
  </si>
  <si>
    <t>CHICO NORTE
CHICO NORTE III SECTOR
BELLAVISTA</t>
  </si>
  <si>
    <t xml:space="preserve">Shapefile tipo polígono
 (Remitirse a carpeta denominada:
SHP META 2_2022)   
DISPONIBLE EN EL SIGUIENTE ENLACE: DRIVE SDA
https://drive.google.com/drive/u/1/folders/1ni390p2SPGzsHn8uJ2qsVs4DLWMzmCEf      
</t>
  </si>
  <si>
    <t>Durante la actual vigencia en la localidad de Santa Fé, se verifico la incorporación de incorporación de los lineamientos y determinantes ambientales de ecourbanismo y construcción sostenible, a WR 750 Diseño paisajístico proyecto zona verde los laches Código ID 03-169 y vía peatonal con rupi 2850-91, WR 752 Diseño paisajístico proyecto zona verde los laches Código ID 03-143, localidad de santa fe, WR 359A Diseño Paisajístico Proyecto Construcción Transmilenio Carrera 10 Tramo 5, WR 570A Diseño paisajístico de las zonas de espacio público colindantes al proyecto ATRIO., WR 389 RAPS LAS NIEVES 2</t>
  </si>
  <si>
    <t>3-SANTA FÉ</t>
  </si>
  <si>
    <t xml:space="preserve">
UPZ 91
UPZ 96
UPZ 93
</t>
  </si>
  <si>
    <t xml:space="preserve">
SAN DIEGO
RAMIREZ
LAS NIEVES
SANTA INÉS
LOS LACHES
</t>
  </si>
  <si>
    <t xml:space="preserve">
PROYECTO Zonas de Cesión Proyecto Saldaña DENTRO TMI (5) Pieza Centro
PROYECTO Parque Zonal Los Laches La Mina  DENTRO TMI Pieza Centro</t>
  </si>
  <si>
    <t>Durante la actual vigencia en la localidad de San Cristobal, se verifico la incorporación de incorporación de los lineamientos y determinantes ambientales de ecourbanismo y construcción sostenible, a WR 456 A DISEÑO PAISAJÍSTICO Urbanización Colmena, WR 951B Diseño Paisajístico Proyecto Parque Vecinal Calvo Sur, WR594 Diseño Paisajístico adecuaciones del espacio público adyacentes a la quebrada Verejones No. 156, WR 395 A Diseño Paisajistico Urbanización Marbella Reservado, WR545 Diseño Paisajístico Urbanización Alto de las Brisas.</t>
  </si>
  <si>
    <t xml:space="preserve">UPZ 33
UPZ 51
UPZ 50
</t>
  </si>
  <si>
    <t xml:space="preserve">BUENOS AIRES
CALVO SUR
JUAN REY (LA PAZ)
LAS GUACAMAYAS I
EL PINAR UPZ 51
SOCIEGO UPZ 33
NUEVA DELHI 
</t>
  </si>
  <si>
    <t>DISEÑO PAISAJÍSTICO Urbanización Colmena DENTRO MACROTERRITORIO (1) Cable San Cristóbal
 PROYECTO PPD BOSQUES DE SAN JOSÉ CRUZA CON TMI LOS LIBERTADORES
TMI SAN BLAS CRUZA CON PROYECTO DISEÑO PAISAJÍSTICO BUENOS AIRES
DISEÑO PAISAJÍSTICO PROYECTO 20 DE JULIO DENTRO TPI 20 DE JULIO
Regularización Barrio Buenos Aires DENTRO DE TPI SAN BLAS
DP Jardín Infantil Arboleda Santa Teresita PROYECTO DENTRO DE TPI LOS LIBERTADORES</t>
  </si>
  <si>
    <t xml:space="preserve">Durante la actual vigencia en la localidad de Tunjuelito, se verifico la incorporación de incorporación de los lineamientos y determinantes ambientales de ecourbanismo y construcción sostenible, a WR 1049 Diseño paisajístico ampliación del radio de giro del puente Isla del Sol sobre el Río Tunjuelo, WR 726 Diseño Paisajístico Parque Metropolitano El Tunal Sector El Lago, WR 695 Diseño paisajístico parque zinal El Redentor, WR 766 Diseño Paisajístico Parque Venecia </t>
  </si>
  <si>
    <t>6- TUNJUELITO</t>
  </si>
  <si>
    <t>UPZ 42</t>
  </si>
  <si>
    <t xml:space="preserve">VENECIA
MUZU
PARQUE EL TUNAL
ISLA DEL SOL
</t>
  </si>
  <si>
    <t>Durante la actual vigencia en la localidad de Bosa, se verifico la incorporación de incorporación de los lineamientos y determinantes ambientales de ecourbanismo y construcción sostenible, a WR 565 Diseño paisajístico urbanización reservas de sienna 2 , WR 737 DISEÑO PAISAJÍSTICO PARQUE METROPOLITANO EL RECREO-PISTA DE PATINAJE, WR 978 DISEÑO PAISAJISTICO CENTRO DE ATENCIÓN ESPECIALIZADA Y CENTRO DE JUSTICIA, WR661 PARQUE LOCAL 14 URBANIZACIÓN CAMPO VERDE, WR528B Diseño Paisajístico de las zonas de cesión para la Ciudadela Campo Verde. WR 173 Diseño Paisajistico parques vecinales, proyecto " Tangara"</t>
  </si>
  <si>
    <t xml:space="preserve">UPZ 87
UPZ 85
UPZ 86
UPZ 84
</t>
  </si>
  <si>
    <t xml:space="preserve">
CAMPO VERDE
CIUDADELA EL RECREO
LA INDEPENDENCIA
EL JARDÍN
PARCELA EL PORVENIR
SAN BERNARDINO XIX
SAN PABLO BOSA
CAMPO VERDE
ARGELIA 2
LAS MARGARITAS
SAN BERNARDINO II
</t>
  </si>
  <si>
    <t>PROYECTO ALTOS DE SAN BERNO DENTRO TMI (4) Kennedy - Bosa
PROYRCTO DP URBANIZACIÓN PIAMONTE II SECTOR  DENTRO TPI BOSA CENTRAL
PROYECTO WR 834 Diseño Paisajístico Colegio Distrital Argelia DENTRO TMI Kennedy - Bosa</t>
  </si>
  <si>
    <t>KENNEDY</t>
  </si>
  <si>
    <t>Durante la actual vigencia en la localidad de kennedy, se verifico la incorporación de incorporación de los lineamientos y determinantes ambientales de ecourbanismo y construcción sostenible, a PLAN DE IMPLANTACIÓN CENTRO COMERCIAL MILENIO PLAZA, WR 691A colegio Manuel Cepeda Vargas Sede A, WR329A Diseño Paisajístico proyecto parque residencial La Armonía, WR85A Diseño Paisajístico proyecto San Felipe de Castilla, WR 777B Diseño Paísajistico Urbanización Riveras de Occidente, WR 781A Diseño Paisajístico Parque Vecinal La Alejandra, WR 776 Diseño Paisajístico parques de la localidad octava de Kennedy, WR 94 Paraíso de Castilla y Brisas de Castilla</t>
  </si>
  <si>
    <t>8- KENNEDY</t>
  </si>
  <si>
    <t>UPZ 48
UPZ81
UPZ82
UPZ 46
UPZ 79</t>
  </si>
  <si>
    <t>SANTA CATALINA
CALANDAIMA
GRAN BRITALIA
DINTALITO
VALLADOLID
TINTALA</t>
  </si>
  <si>
    <t>PLAN DIRECTOR LAS MARGARITAS DENTRO TMI GRAN BRITALIA</t>
  </si>
  <si>
    <t>9-FONTIBÓN</t>
  </si>
  <si>
    <t>Durante la actual vigencia en la localidad de kennedy, se verifico la incorporación de incorporación de los lineamientos y determinantes ambientales de ecourbanismo y construcción sostenible, a WR744 PARQUE ALTANA, WR573 Diseño Paisajístico de la zona verde compensatoria de la Urbanización Prado Grande, WR 773 Diseño Paisajistico proyecto Portón de la Sabana, WR 550 Diseño paisajístico Urbanización La Felicidad Unidad de Gestión 3, WR 692 Diseño paisajístico del parque de la Urbaniza, WR 32 URBANIZACION LA FLORIDA CAPELLLANIA, WR 89 AV FERROCARRIL ENTRE CARRERA 96 Y 100, WR 155 Diseño paisajístico Parque Torre Hayuelos</t>
  </si>
  <si>
    <t xml:space="preserve"> 9-FONTIBÓN</t>
  </si>
  <si>
    <t xml:space="preserve">UPZ 75
UPZ 77
UPZ 114
UPZ 117
UPZ 115
UPZ 112
UPZ 76
</t>
  </si>
  <si>
    <t xml:space="preserve">
FERROCAJA FONTIBON 
CIUDAD HAYUELOS
KASANDRA
VILLA CARMENZA
EL CHANCO I
EL TINTAL CENTRAL
SAN JOSE DE FONTIBON
CAPELLANÍA
VILLA ALSACIA
LOS ALAMOS
SANTA CECILIA
MONTEVIDEO
ZONA FRANCA
LA LAGUNA FONTIBÓN
BELEN FONTIBÓN
SABANA GRANDE
SAN PABLO JERICO
MODELIA
BOSQUE DE MODELIA</t>
  </si>
  <si>
    <t>PROYECTO WR 850  Zonas Cesión Urb Mirador del Jaboque dentro TMI (7) Suba - Engativa</t>
  </si>
  <si>
    <t>10- ENGATIVÁ</t>
  </si>
  <si>
    <t>Durante la actual vigencia en la localidad de Engativá, se verifico la incorporación de incorporación de los lineamientos y determinantes ambientales de ecourbanismo y construcción sostenible, a WR 412 A DISEÑO PAISAJÍSTICO Contrato IDU 1851 de 2015, WR 542 A Diseño paisajístico revisión y aprobación de la modificación del Acta WR542 de 05-09-2016, la cual aprobó el diseño paisajístico del Contrato IDU 1851 de 2015, cuyo objeto es “Complementación o actualización o ajustes o diseños y construcción de la Avenida José Celestino Mútis. WR 866 Diseño Paisajístico para la zona de cesión Proyecto Urbanización Chigüiros Etapa 2. , WR 623 Diseño Paisajístico Acción popular carrera 91 entre calle 90 y calle 98, WR 1088 zonas de cesión del proyecto Cta Globo N°3. Urbanización Minuto de Dios Lotes 67 y 68 Bio-parque, Cita VUC: 17538, WR 220B PARQUE URB RESERVA 67.WR 600B Diseño Paisajístico de las zonas de cesión del proyecto Parque Central de Occidente, WR 850 Diseño paisajístico Zonas de Cesión Urbanización Mirador del Jaboque, WR 163 PROYECTO AVENIDA GONZALO ARIZA CONTRATO IDU No. 084 DE 2012 , WR 13 Urbanización San Joaquín, WR 115 Barrio Bachue CL 90A, WR 178A Diseño Paisajístico PENTAGRAMA, WR 114-2013 Barrio Bachue I Sector</t>
  </si>
  <si>
    <t xml:space="preserve">UPZ30
UPZ 29
UPZ 72
UPZ 73
UPZ 26
UPZ 74
</t>
  </si>
  <si>
    <t xml:space="preserve">BOYACA
EL MINUTO DE DIOS
SAN IGNACIO
LOS CEREZOS
CENTRO ENGATIVA II
LA CABAÑA
AUTOPISTA MEDELLIN
CIUDADELA COLSUBSIDIO
LOS ALAMOS
VILLA DEL MAR
EL GACO
BOSQUE POPULAR
LA FAENA
NORMANDÍA OCCIDENTAL
CENTRO ENGATIVÁ II
SANTA ROSA
</t>
  </si>
  <si>
    <t xml:space="preserve">Diseño paisajístico Parque Florida de Engativá 2 DENTRO DE TPI ENGATIVÁ
Proyecto WR 922 Diseño Paisajístico Urbanización Granjas del Dorado DENTRO TMI Suba - Engativá </t>
  </si>
  <si>
    <t>Durante la actual vigencia en la localidad de Suba, se verifico la incorporación de incorporación de los lineamientos y determinantes ambientales de ecourbanismo y construcción sostenible, a WR 363A Diseño Paisajístico SUBA LOMBARDIA, WR 1031 Diseño paisajístico en el barrio Covadonga, oreja vial entre la Avenida Suba (Transversal 60) con la Avenida Boyacá (Carrera 72), WR 743 DISEÑO PAISAJISTICO ALCAPARROS, WR 446A SIERRAS DE SUBA, WR 605 BARRERAS VIVAS CENTRO COMERCIAL LA COLINA, WR 660  PROYECTO CL 139 RESERVADO, WR339A Urb. Valle de REFOUS, WR 902 Diseño paisajístico Zonas de Cesión Urbanización El Jordán , WR242A Diseño Paisajístico Parque Panoramia, WR 654 Diseño Paisajístico Parque Zonal Casa Blanca Cod. 11-069, WR 818A Diseño Paisajístico del proyecto Centro de la Felicidad – CEFE del parque Fontanar del Río, WR 1081 Diseño paisajístico de las zonas de cesión del proyecto oka- urbanismo el pencil, WR 1224 de 2022 Diseño paisajístico contenedores soterrados UAESP, WR 574 Diseño paisajístico Club La Colina, WR 08 Diseño Paisajístico Parque Urbanización Reserva de Moraverde, WR 22 Diseño Paisajístico Edificio Nova Colina, WR 33G Diseño Paisajístico Urbanización Los Arrayanes, CLUB CAMPESTRE GUAYMARAL, WR 77 Diseño de andenes Urb. EMCOCLAVOS, WR 129 Parque de Bolsillo Fundación Nuevo Marymount, WR 35 Parque Compostela, WR71 Parque Suba 153, WR 48 Urbanización Bellomonte, WR 05 Parque vecinal Urbanización Echeverría, WR 102 Corinto reservado, WR 102 Corinto reservado, WR 882 URBANIZACIÓN ENTRE VERDE RESERVADO, WR 179 URB. TERRONI, WR 92 Diseño paisajístico Urbanización Bello Horizonte, WR 119 PARQUE PONTEVEDRA ZONA 5, WR 110-2013 Parque Pontevedra Zona 7, WR 184A-2017 Parque Campo DIFIORI, WR 232-2013. Diamante Planta Norte</t>
  </si>
  <si>
    <t xml:space="preserve">UPZ17
UPZ27
UPZ71
UPZ28
UPZ23
UPZ24
</t>
  </si>
  <si>
    <t xml:space="preserve">VEREDA SUBA CERROS II-TUNA BAJA-EL PLAN-VEREDA SUBA NARANJOS-SAN JOSE DEL PRADO-LECH WALESA
CIUDAD JARDIN NORTE
SALITRE SUBA
SAN CARLOS DE SUBA
SUBA CERROS
TIBABUYES II
VILLA DEL PRADO
ALTOS DE CHOZICA
CIUDAD HUNZA
SANTA HELENA
LAS FLORES
EL PINO
</t>
  </si>
  <si>
    <t>PROYECTO WR 1224 UAESP DENTRO  TMI (7) Suba - Engativa  
PROYECTO WR 818A Diseño Paisajístico del proyecto Centro de la Felicidad – CEFE del parque Fontanar del Río DENTRO  TMI (7) Suba - Engativa
PROYECTO WR 1081 Diseño paisajístico de las zonas de cesión del proyecto oka- urbanismo el pencil  DENTRO  TMI (7) Suba - Engativa   
  PROYECTO 902  Zonas Cesión Urb El Jordán dentro TMI (7) Suba - Engativa   PROYECTO ALMENARA,Diseño paisajístico Urb. Conjunto residencial Nuevo Veracruz Y DISEÑO PAISAJÍSTICO ARA FERRETERO DENTRO TMI Suba - Engativa 
Diseño paisajístico del Contrato IDU 1552 de 201 PROYECTO DENTRO TMI SUBA
DISEÑO PAISAJÍSTICO PARQUR FONTANA PROYECTO DENTRO TMI SUBA 
DIS PAISAJ CAMPO PREDIO EL CAMPITO PROYECTO DENTRO TMI 
TIBABUYES 
DIS PAISAJ ZONA CESIÓN PROY Punta del Este PROYECTO DENTRO TMI EL RINCÓN 
DP zonas cesión proyecto PP Bosque Sabana PROYECTO DENTRO TMI SUBA
Diseño Paisajístico del CPS 477/2020 DENTRO TMI SUBA
DP puente peatonal de la Av. Suba PROYECTO  DENTRO TMI SUBA
DP ZONAS DE CESIÓN PROYECTO ZIMA PROYECTO DENTRO TMI SUBA
Regularización Rincón de Suba DENTRO TMI EL RINCON
PROYECTO DP Proyecto Centro Empresarial Alpaso Plaza DENTRO TMI Suba - Engativa</t>
  </si>
  <si>
    <t>12- BARRIOS UNIDOS</t>
  </si>
  <si>
    <t>Durante la actual vigencia en la localidad de Barrios Unidos, se verifico la incorporación de incorporación de los lineamientos y determinantes ambientales de ecourbanismo y construcción sostenible, a WR 787 Aprobación diseño paisajístico zonas de cesión Urbanización los Andes, WR 164A Diseño Paisajístico CC METROPOLIS, WR 618 DISEÑO PAISAJÍSTICO PARQUE CÓDIGO 12-076 URBANIZACION ANTIGUO POLO CLUB, WR 749A Modificación del Diseño de Jardinería del Separador de la Calle 63 por Avenida Carrera 24, WR 853A Diseño Paisajístico Arborización e Intervención de Andenes/ Parque de Bolsillo de la Urbanización Salamanca, WR 775 Diseño Paisajístico del proyecto de modificación del Plan Director Parque Metropolitano Simón Bolívar sector de Salitre</t>
  </si>
  <si>
    <t xml:space="preserve">
UPZ 98
UPZ 22
UPZ103
UPZ 21
UPZ 98
</t>
  </si>
  <si>
    <t xml:space="preserve">
BENJAMIN HERRERA
QUINTA MUTIS
METROPOLIS
LOS ANDES
SAN FELIPE
SAN FERNANDO OCCIDENTAL
BOSQUE POPULAR
LA ESPERANZA
POLO CLUB
LA CASTELLANA
SANTA SOFÍA
POPULAR MODELO
</t>
  </si>
  <si>
    <t>13- TEUSAQUILLO</t>
  </si>
  <si>
    <t>Durante la actual vigencia en la localidad de Teusaquillo, se verifico la incorporación de incorporación de los lineamientos y determinantes ambientales de ecourbanismo y construcción sostenible, a WR 719 Diseño Paisajístico anden Edificio Torrejón, WR 1034 Diseño paisajístico de intervención en andenes en la Calle 49 No 25- 21- Cita VUC N° 13551, WR 754A Modificación diseño paisajístico Coliseo Cubierto El Campin, WR 135 Diseño Paisajístico del parque vecinal Urbanización Gran Estación., WR 181 Diseño paisajístico plaza urbanización Gran Estación.</t>
  </si>
  <si>
    <t xml:space="preserve">UPZ 100
UPZ 106
UPZ 107
UPZ 109
</t>
  </si>
  <si>
    <t>CAMPIN
ALFONSO LOPEZ
NICOLAS DE FEDERMAN
CIUDAD SALITRE SUR-ORIENTAL
ORTEZAL</t>
  </si>
  <si>
    <t>16- PUENTE ARANDA</t>
  </si>
  <si>
    <t>Durante la actual vigencia en la localidad de Puente Aranda, se verifico la incorporación de incorporación de los lineamientos y determinantes ambientales de ecourbanismo y construcción sostenible, a WR 1045 Diseño paisajístico del Parque Industrial Puente Aranda, WR681 PARQUE VECINAL URB VERONA,, WR 546 Diseño Paisajístico Tramo de la Carrera 50 entre Calle 13 y 15, WR 139A Diseño Paisajístico del Cantón Militar Occidental. Sector de la Carrera 46 entre la Calle 21 y la Avenida de las Américas.</t>
  </si>
  <si>
    <t>16-PUNETE ARANDA</t>
  </si>
  <si>
    <t xml:space="preserve">UPZ40
UPZ 111
UPZ 43
UPZ 108
</t>
  </si>
  <si>
    <t xml:space="preserve">
PUENTE ARANDA
TIBANA
SALAZAR GOMEZ
SAN FRANCISCO
LOS EJIDOS
PENSILVANIA
</t>
  </si>
  <si>
    <t>Durante la actual vigencia en la localidad de Rafael Uribe Uribe, se verifico la incorporación de incorporación de los lineamientos y determinantes ambientales de ecourbanismo y construcción sostenible, a WR 485B Diseño Paisajístico Proyecto Urb. Bosque de San Carlos Etapa 1, WR 873 Diseño Paisajístico Zonas de cesión Proyecto Caracas Avenida, WR 205A Diseño paisajístico Urbanización Carmen del Sol</t>
  </si>
  <si>
    <t>UPZ 36
UPZ 54
UPZ 55
UPZ39
UPZ 53</t>
  </si>
  <si>
    <t>MARCO FIDEL SUAREZ I
PALERMO SUR
SAN LUIS
CALLEJON SANTA BARBARA
GRANJAS SAN PABLO
OLAYA</t>
  </si>
  <si>
    <t xml:space="preserve">PROYECTO WR 308B Diseño paisajístico Parque Vecinal Palermo Sur DENTRO TMI 6-Rafael Uribe - Tunjuelito
PROYECTO WR 873 Diseño Paisajístico Zonas de cesión Proyecto Caracas Avenida DENTRO TMI 6-Rafael Uribe - Tunjuelito
MARCO FIDEL SUAREZ (PLAN DIRECTOR PARQUE SANTA LUCÍA)
TMI MARRUECOS CRUZA CON PROY DP TRAMO 4
</t>
  </si>
  <si>
    <t>Durante la actual vigencia en la localidad de Ciudad Bolivar, se verifico la incorporación de incorporación de los lineamientos y determinantes ambientales de ecourbanismo y construcción sostenible, a WR 627 Diseño Paisajístico Parque de bolsillo ID 19380 Arborizadora Alta, WR 952C Revisión y aprobación de la modificación del Diseño Paisajístico del nuevo desarrollo Proyecto Parque vecinal La Coruña, WR 762 Diseño paisajístico Implantación del Centro Comercial Paseo Villa del Rio y Tienda Makro Sur , WR774 Diseño Paisajístico Urbanización Santa Helena, WR 772 PI MAKRO SUR CENTRO CONERCIAL PASEO VILLA DEL RÍO, WR 741A Diseño paisajístico de las zonas del Parque Zonal Buenavista El Porvenir PZ76, WR 624 Diseño Paisajístico Proyecto Parque Zonal El Taller – El Ensueño PZ 74, WR 16A Diseño paisajístico del Proyecto Bonavista Cesión 4, WR 1132 Diseño Paisajístico de la franja de control ambiental de la Sede El Ensueño de la Universidad Distrital Francisco José de Caldas, WR 122 Diseño paisajístico Urbanización Ensueño I</t>
  </si>
  <si>
    <t>19-CIUDAD BOLIVAR</t>
  </si>
  <si>
    <t xml:space="preserve">UPZ 65
UPZ 68
UPZ 69
UPZ 66
UPZ 67
UPZ 70
</t>
  </si>
  <si>
    <t xml:space="preserve">GUADALUPE
EL ENSUEÑO
QUIBA I
GUADALUPE
LA CORUÑA
LAS MANAS
SIERRA MORENA II
EL ENSUEÑO 
MILLAN
BRISAS DEL VOLADOR
VERONA
LA ESTANCIA
RAFAEL ESCAMILLA
SANTA VIVIANA
ARABIA
PARAISO QUIBA
MADELENA
</t>
  </si>
  <si>
    <t xml:space="preserve">
LOS PROYECTOS *WR 741A Diseño paisajístico de las zonas del Parque Zonal Buenavista El Porvenir PZ76
*WR 624 Diseño Paisajístico Proyecto Parque Zonal El Taller – El Ensueño PZ 74
*WR 16A Diseño paisajístico del Proyecto Bonavista Cesión 4
DENTRO TMI (3) Ciudad Bolivar Urbano Rural
Diseño Paisajístico Parque de bolsillo ID 19380 DENTRO MATROTERRITORIO (3) Ciudad Bolivar Urbano Rural
DISEÑO PAISAJISTICO  PARQUE ZONAL SIERRA MORENA DENTRO TMI (3) Ciudad Bolivar Urbano Rural
Diseño paisajístico proyecto Parque Vecinal Pilona 8
DENTRO TMI (3) Ciudad Bolivar Urbano Rural
DISEÑO PAISAJÍSTICO TANQUE EL VOLADOR EAAB PROYECTO DENTRO TMI LUCERO
DISEÑO PAISAJ FRANJA AMB U DISTRITAL EL ENSUEÑO PROYECTO DENTRO TMI JERUSALEM 
DIS PAISAJ ZONAS CESIÓN TORRES DE PORTAL PROYECTO DENTRO TMI ISMAEL PERDOMO 
DETERMINANTES PROYECTO Contrato CVP 415 de 2021 PROYECTO DENTRO TMI ISMAEL PERDOMO
DESARROLLO LEGALIZADO ARABIA PROYECTO DENTRO TMI EL TESORO
DP Acupuntura Urbana Grupo B DENTRO TMI LUCERO
PROYECTO DP Puente Peatonal Casa Grande DENTRO TMI Ciudad Bolivar Urbano Rural</t>
  </si>
  <si>
    <t>LOCALIDADES: Se realizará  acompañamiento técnico a techos verdes y jardines verticales, lo cual promueve la conservación y mejoramiento de estas estructuras que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</si>
  <si>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1. Política Pública de Ecourbanismo y Construcción Sostenible, Política de Biodiversidad</t>
  </si>
  <si>
    <t>La territorialización de la meta se realiza a escala de localidad, dado que la incorporación de criterios de ecourbanismo y sostenibilidad ambiental en proyecto de infraestructura genera beneficios intrínsecos y complejos de definir su impacto, dado que no todos los proyectos incorporan los mismo determintes y requeriría de estudios especializados por cada proyecto, para calcular los beneficios ambientales y la población beneficiada, lo cual desborda lo programado en la meta.</t>
  </si>
  <si>
    <t>CHAPINERO, EDIFICIO 14 - 97 PARK, Calle 97 A # 13 A - 57, AAA0092SLBR</t>
  </si>
  <si>
    <t>Durante la actual vigencia en la localidad de Chapinero, se realizó acompañamiento técnico a 585 m2 de Techi verde/ Jardin Vertical en EDIFICIO 14 - 97 PARK, Calle 97 A # 13 A - 57, AAA0092SLBR</t>
  </si>
  <si>
    <t xml:space="preserve">UPZ 99
</t>
  </si>
  <si>
    <t>MARLY</t>
  </si>
  <si>
    <t xml:space="preserve">Shapefile tipo punto
 (Remitirse a Generación de Shape denominado:
SHP META 3_2023)     
DISPONIBLE EN EL SIGUIENTE ENLACE: DRIVE SDA
https://drive.google.com/drive/u/1/folders/1ni390p2SPGzsHn8uJ2qsVs4DLWMzmCEf
</t>
  </si>
  <si>
    <t>CHAPINERO, UNIVERSIDAD JAVERIANA EDIFICIO CENTRAL (EDIFICIO INTERIOR), Cra 7 # 40 - 62, AAA0088CUDM.</t>
  </si>
  <si>
    <t>Durante la actual vigencia en la localidad de Chapinero, se realizó acompañamiento técnico a 100 m2 de Jardin Vertical en UNIVERSIDAD JAVERIANA EDIFICIO CENTRAL (EDIFICIO INTERIOR), Cra 7 # 40 - 62, AAA0088CUDM.</t>
  </si>
  <si>
    <t>CHAPINERO, EDIFICIO URBAN PLAZA, Calle 90 # 11 - 13 GS 64, CHIP AAA0239NKKC</t>
  </si>
  <si>
    <t>Durante la actual vigencia en la localidad de Chapinero, se realizó acompañamiento técnico a 80 m2 de Jardin Vertical en EDIFICIO URBAN PLAZA, Calle 90 # 11 - 13 GS 64, CHIP AAA0239NKKC</t>
  </si>
  <si>
    <t>UPZ 97</t>
  </si>
  <si>
    <t>EL CHICO</t>
  </si>
  <si>
    <t>TEUSQUILLO. PROYECTO FUNCENER, Calle 55 BIS # 16 - 32, AAA0084BMJZ</t>
  </si>
  <si>
    <t>Durante la actual vigencia en la localidad de Teusaquillo, se realizó acompañamiento técnico a 150 m2 de Jardin Vertical en PROYECTO FUNCENER, Calle 55 BIS # 16 - 32, AAA0084BMJZ.</t>
  </si>
  <si>
    <t xml:space="preserve">UPZ 100
</t>
  </si>
  <si>
    <t>CHAPINERO</t>
  </si>
  <si>
    <t>CHAPINERO, UNIVERSIDAD JAVERIANA EDIFICIO CENTRAL CRA 7, Cra 7 # 40 - 62, AAA0088CUDM</t>
  </si>
  <si>
    <t>Durante la actual vigencia en la localidad de Chapinero, se realizó acompañamiento técnico a 52 m2 de Jardin Vertical en PROYECTO UNIVERSIDAD JAVERIANA EDIFICIO CENTRAL CRA 7, Cra 7 # 40 - 62, AAA0088CUDM.</t>
  </si>
  <si>
    <t>02- CHAPINERO</t>
  </si>
  <si>
    <t>CATALUNA</t>
  </si>
  <si>
    <t>USAQUÉN. EDIFICIO ASERETO, Calle 144 # 12 - 07, AAA0110YUEA</t>
  </si>
  <si>
    <t>Durante la actual vigencia en la localidad de Usaquen, se realizó acompañamiento técnico a 315 m2 de Techos Verdes en  EDIFICIO ASERETO, Calle 144 # 12 - 07, AAA0110YUEA</t>
  </si>
  <si>
    <t>01- USAQUEN</t>
  </si>
  <si>
    <t>UPZ 13</t>
  </si>
  <si>
    <t>CEDRO NARVAEZ</t>
  </si>
  <si>
    <t>USAQUÉN,CITY HUERTA CEDRO POING, Calle 140 # 10A - 48, AAA0239TKOM</t>
  </si>
  <si>
    <t>Durante la actual vigencia en la localidad de Usaquen, se realizó acompañamiento técnico a 150 m2 de Techos Verdes en CITY HUERTA CEDRO POING, Calle 140 # 10A - 48, AAA0239TKOM</t>
  </si>
  <si>
    <t>CEDRITOS</t>
  </si>
  <si>
    <t>SANTA FE, FACULTAD DE ARTES Y DISEÑO JORGE TADEO LOZANO. Calle 25A # 4 - 49</t>
  </si>
  <si>
    <t>Durante la actual vigencia en la localidad de Santa Fé, se realizó acompañamiento técnico a 671 m2 de Techos Verdes en FACULTAD DE ARTES Y DISEÑO JORGE TADEO LOZANO. Calle 25A # 4 - 49</t>
  </si>
  <si>
    <t>03-Santa Fé</t>
  </si>
  <si>
    <t>UPZ 92</t>
  </si>
  <si>
    <t>LA MACARENA</t>
  </si>
  <si>
    <t>USME, ALCALDIA LOCAL DE USME TORRE CENTRAL COSTADO ORIENTE, KR 14A 137B 32 SUR, AAA0208ZWWW</t>
  </si>
  <si>
    <t>Durante la actual vigencia en la localidad de Usme, se realizó acompañamiento técnico a 600 m2 de Techo Vernde en la ALCALDIA LOCAL DE USME TORRE COSTADO ORIENTE</t>
  </si>
  <si>
    <t>UPZ57</t>
  </si>
  <si>
    <t>LA CABANA</t>
  </si>
  <si>
    <t xml:space="preserve">USME, COLEGIO MONSEÑOR BERNARDO SANCHEZ, Calle 69 D BIS SUR # 1 - 5, </t>
  </si>
  <si>
    <t xml:space="preserve">Durante la actual vigencia en la localidad de Usme, se realizó acompañamiento técnico a 17 m2 de Jardín Vertical en COLEGIO MONSEÑOR BERNARDO SANCHEZ, Calle 69 D BIS SUR # 1 - 5, </t>
  </si>
  <si>
    <t>ENGATIVÁ, CENTRO CRECER LOS ANGELES, Calle 71 A # 95 - 31, AAA0066BPXR</t>
  </si>
  <si>
    <t>Durante la actual vigencia en la localidad de Engativá, se realizó acompañamiento técnico a 140 m2 de Jardin Vertical en   CENTRO CRECER LOS ANGELES, Calle 71 A # 95 - 31, AAA0066BPXR</t>
  </si>
  <si>
    <t>10-ENGATIVÀ</t>
  </si>
  <si>
    <t>UPZ 30</t>
  </si>
  <si>
    <t>LOS ÁLAMOS</t>
  </si>
  <si>
    <t>ENGATIVÁ, EDIFICIO ELEMENTO - TORRE 1, Calle 26 # 69- 76,  AAA0259SAMS</t>
  </si>
  <si>
    <t>Durante la actual vigencia en la localidad de Engativá, se realizó acompañamiento técnico a 350 m2 de Techo Verde en   EDIFICIO ELEMENTO - TORRE 1, Calle 26 # 69- 76,  AAA0259SAMS.</t>
  </si>
  <si>
    <t>UPZ 105</t>
  </si>
  <si>
    <t>JARDIN BOTANICO</t>
  </si>
  <si>
    <t>ENGATIVÁ, PORTAL 80, Avenida Calle 80 # 100 - 52, AAA0185CNMR</t>
  </si>
  <si>
    <t>Durante la actual vigencia en la localidad de Engativá, se realizó acompañamiento técnico a  28 m2 de Techo Verde en  PORTAL 80, Avenida Calle 80 # 100 - 52, AAA0185CNMR</t>
  </si>
  <si>
    <t>UPZ72</t>
  </si>
  <si>
    <t>BOCHICA II</t>
  </si>
  <si>
    <t>ENGATIVÁ, EDIFICIO ELEMENTO - TORRE 3, Calle 26 # 69- 76, AAA0259SAMS</t>
  </si>
  <si>
    <t>Durante la actual vigencia en la localidad de Engativá, se realizó acompañamiento técnico a 600 m2 de Techos Verdes en  ENGATIVÁ, EDIFICIO ELEMENTO - TORRE 3, Calle 26 # 69- 76, AAA0259SAMS</t>
  </si>
  <si>
    <t>ENGATIVÁ, EDIFICIO ELEMENTO - TORRE 3 SECTOR ORIENTE, Calle 26 # 69- 76, AAA0259SAMS</t>
  </si>
  <si>
    <t>Durante la actual vigencia en la localidad de Engativá, se realizó acompañamiento técnico a 600 m2 de Techos Verdes en  EDIFICIO ELEMENTO - TORRE 3 SECTOR ORIENTE, Calle 26 # 69- 76, AAA0259SAMS</t>
  </si>
  <si>
    <t>ENGATIVÁ, EDIFICIO ELEMENTO - TORRE 4, Calle 26 # 69- 76, AAA0259SAMS</t>
  </si>
  <si>
    <t>Durante la actual vigencia en la localidad de Engativá, se realizó acompañamiento técnico a 650 m2 de Techos Verdes en  EDIFICIO ELEMENTO - TORRE 4, Calle 26 # 69- 76, CHIP AAA0259SAMS</t>
  </si>
  <si>
    <t>ENGATIVÁ, EDIFICIO ELEMENTO - TORRE 2, Calle 26 # 69- 76, AAA0259SAMS</t>
  </si>
  <si>
    <t>Durante la actual vigencia en la localidad de Engativá, se realizó acompañamiento técnico a 600 m2 de Techos Verdes en  EDIFICIO ELEMENTO - TORRE 2, Calle 26 # 69- 76, CHIP AAA0259SAMS</t>
  </si>
  <si>
    <t>SUBA, JARDIN INFANTIL AURES, Calle 130 B # 96 - 57, AAA0133XBFZ</t>
  </si>
  <si>
    <t>Durante la actual vigencia en la localidad de Suba, se realizó acompañamiento técnico a 300 m2 de Techos Verdes en  JARDIN INFANTIL AURES, Calle 130 B # 96 - 57, AAA0133XBFZ</t>
  </si>
  <si>
    <t>UPZ 28</t>
  </si>
  <si>
    <t>TTES DE COLOMBIA</t>
  </si>
  <si>
    <t>SUBA, CENTRO COMERCIAL EL PASO, Calle 145 # 103 B - 69, AAA0235JFYX</t>
  </si>
  <si>
    <t>Durante la actual vigencia en la localidad de Suba, se realizó acompañamiento técnico a 311 m2 de Techos Verdes/Jardin vertical en  CENTRO COMERCIAL EL PASO, Calle 145 # 103 B - 69, AAA0235JFYX</t>
  </si>
  <si>
    <t>EL POA</t>
  </si>
  <si>
    <t>DISTRITAL
La Estrategia Distrital de Crecimiento Verde permitirá dinamizar en el corto y mediano plazo, acciones fundamentales, en torno al uso sostenible del capital natural, bioeconomía, sostenibilidad energética y economía circular, entre otras; soportadas en la ciencia, tecnología e innovación y la gobernanza entre el sector público y privado, para impulsar el crecimiento económico integrado con sostenibilidad ambiental, de manera que incida en la generación del conocimiento, generación de empleos verdes y valor agregado en la cadena de producción y consumo, para lograr una ciudad sostenible, eficiente y baja en carbono, y por ende el mejoramiento de la calidad de vida en el Distrito Capital.</t>
  </si>
  <si>
    <t>Durante la vigencia 2023 se ha avanzado en un 0,30 en la implementación y seguimiento a una estrategia de crecimiento verde- EDCV, a través del diseño del plan de acción detallado para la iniciativa Bogotá Circular, la realización de un taller de gestión del conocimiento y orientación estratégica, la contratación de una consultorìa para la métrica y gobernanza de Bogotà Circular,  la realización de un comité de nivel estratégico de Bogotá Circular y el diseño de una hoja de ruta para la gestión del conocimiento para temas de circularidad en la ciudad. Adicionalmente, a través del memorando de entendimiento suscrito con la Cámara de Comercio de Bogotá y con la Secretaría Distrital de Desarrollo Económico se está avanzando en la prorroga para el año 2024 y el diseño de una propuesta de fortalecimiento de los Negocios Verdes. De otra parte, se gestionó con el programa Circular City Labs de la GIZ una alianza para la formulación de un proyecto acelerador en torno a empaques y envases. Adicionalmente, se avanza en el segundo producto para el diseño y desarrollo de una plataforma regional de economía circular, proyecto de cooperación con el BID. En relación con el seguimiento a los indicadores de la EDCV, durante el mes de noviembre  se realizaron mesas de trabajo con la UAESP y la EAAB con el fin de gestionar los datos de las variables faltantes para el indicador de biomasa residual. Adicionalmente, se asistieron a espacios de dialogo para fortalecer el indicador de la demanda de bienes y servicios sostenibles en el marco de las labores realizadas por la SDDE y el DANE.</t>
  </si>
  <si>
    <t>La reuniones realizadas en este periodo fueron de articulación:
 20/01/2022 - 8:30 am - 9:30: Presentación Estrategia Verde a Fenalco.
 21/01/2022 - 2:30 pm - 3:30 pm: Articulación PREAD - BIC. 
24/01/2022 - 11am - 12 pm: Empalme y avances en Bogotá Circular.
26/01/2022 - 9am: 10:00 am: Presentación Programa Gestión Ambiental Empresarial a CCB.
27/01/2022 - 11am: 12am: Actualización Bogotá Circular con SDDE
31/01/2022 - 11:30 am: 12:30pm: Red Moda SDA - CCB.</t>
  </si>
  <si>
    <t>ASISTIR A 800 PROYECTOS PARTICIPANTES DE PROGRAMAS VOLUNTARIOS OFRECIDOS POR LA SEGAE, PARA EL MEJORAMIENTO DEL DESEMPEÑO AMBIENTAL.</t>
  </si>
  <si>
    <t>DISTRITAL
La SDA desarrolla el Programa Gestión Ambiental Empresarial integrado por los mecanismos de fortalecimiento de capacidades para la sostenibilidad (ACERCAR, PREAD y PROREDES), el cual brinda acompañamiento profesional al sector empresarial ubicado en el perímetro urbano de Bogotá en el mejoramiento del desempeño ambiental, a través del diseño e implantación de proyectos dirigidos al uso eficiente de los recursos naturales agua, energía, aire y materiales, lo cual representa un aporte al mejoramiento del ambiente de la ciudad.</t>
  </si>
  <si>
    <t>Durante la vigencia 2023 se han asistido a 290 proyectos en el uso de recursos naturales y materiales, el avance en diciembre del 2023 es de 30 según lo programado.
Logramos cumplir la meta programada para la vigencia 2023.</t>
  </si>
  <si>
    <t>Los 30 proyectos reportados en fase de terminación  se dirigen al uso eficiente de: agua 3, energía 7, materiales 18 y emisiones 2.
I.D.A.E. en empresas ACERCAR 2023 continuó validando los indicadores de consumo de energía eléctrica y térmica, agua y residuos peligrosos, de 225 reportes han finalizado 110. Medición del I.D.A.E. para 62 empresas en las categorías muy bueno, bueno, aceptable y deficiente. En PREAD se brindó apoyo en observaciones a informes finales.
Logramos cumplir con la meta programada para la vigencia 2023.</t>
  </si>
  <si>
    <t>Del acompañamiento generado a los proyectos dirigidos al mejoramiento del desempeño ambiental se reportan:
Para el mes de febrero, 1 proyecto dirigido al uso eficiente de energía.
Para el mes de marzo, 1 proyecto dirigido al uso eficiente de materiales. 
Para el mes de abril, 3 proyectos dirigidos al uso eficiente de: 1 materiales y 2 en disminución de RESPEL.
Para el mes de mayo, 5 proyectos dirigidos al uso eficiente de: materiales y 4 en disminución RESPEL.
Para el mes de junio, 4 proyectos dirigidos al uso eficiente de: 4 en disminución RESPEL.
Para el mes de julio, 2 proyectos dirigidos al uso eficiente de: 1 energía, 1 en disminución RESPEL.
Para el mes de septiembre, 2 proyectos dirigidos al uso eficiente de: 1 energía y  1 materiales.
Para el mes de octubre, 2 proyectos dirigidos al uso eficiente de: 1 energía y  1 materiales.
Para el mes de noviembre, 2 proyectos dirigidos al uso eficiente de: 1 energía y  1 materiales.
Para el mes de diciembre, 2 proyectos dirigidos al uso eficiente de: 2 materiales.</t>
  </si>
  <si>
    <t>USAQUÉN</t>
  </si>
  <si>
    <t>UPZ 9
UPZ 10
UPZ 12
UPZ 13
UPZ 14
UPZ 15
UPZ16</t>
  </si>
  <si>
    <t>SAN ANTONIO
SAN ANTONIO NOROCCIDENTAL
EL TOBERIN
BELLA SUIZA, LAS MARGARITAS, CEDRITOS
SANTA ANA OCCIDENTAL, BELLA SUIZA
LA CAROLINA
SAN PATRICIO, SANTA BARBARA OCCIDENTAL, SANTA BIBIANA.</t>
  </si>
  <si>
    <t>Punto. https://drive.google.com/drive/u/5/folders/16UCIUekSew52hc5yuF8fx9d47pJapAxd</t>
  </si>
  <si>
    <t>1. Política Distrital de Producción y Consumo Sostenible</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</si>
  <si>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Febrero 2023: 1 proyecto perteneciente a 1  empresa tamaño grande.
Marzo 2023: 1 proyecto perteneciente a  empresa tamaño: 1 pequeña.
Abril 2023: 3 proyecto pertenecientes a empresas de tamaño: 1 micro, 2 pequeñas.
Mayo 2023: 5 proyectos pertenecientes  a empresas de tamaño: 5 medianas.
Junio 2023: 4 proyectos pertenecientes  a empresas de tamaño: 4 pequeñas.
Julio 2023: 2 proyectos pertenecientes  a empresas de tamaño: 1 mediana, 1 grande.
Septiembre 2023: 2 proyectos pertenecientes  a empresas de tamaño: 1 mediana, 1 grande.
Octubre 2023: 2 proyectos pertenecientes  a empresas de tamaño: 1 mediana, 1 grande.
Noviembre 2023: 2 proyectos pertenecientes  a empresas de tamaño: 2 pequeñas
Diciembre 2023: 2 proyectos pertenecientes  a empresas de tamaño: 1 grande, 1 mediano.</t>
  </si>
  <si>
    <t>Del acompañamiento generado a los proyectos dirigidos al mejoramiento del desempeño ambiental se reportan:
Para el mes de abril, 2 proyectos dirigidos al uso eficiente de: 1 energía y 1 en disminución de RESPEL.
Para el mes de mayo, 3 proyectos dirigidos al uso eficiente de: agua, energía y 1 en disminución RESPEL.
Para el mes de junio, 3 proyectos dirigidos al uso eficiente de: 1 agua y 2 en disminución RESPEL.
Para el mes de julio, 2 proyectos dirigidos a: 1 disminución RESPEL y 1 emisiones.
Para el mes de agosto, 3 proyectos dirigidos a: 1 uso eficiente de materales y 2 disminución en emisiones.
Para el mes de septiembre, 3 proyectos dirigidos al uso eficiente de: 1 energía y 2 en materiales.
Para el mes de octubre, 3 proyectos dirigidos al uso eficiente de: 2 agua y  1 materiales.
Para el mes de noviembre, 2 proyectos dirigidos al uso eficiente de: 1 agua y  1 materiales.
Para el mes de diciembre, 1 proyecto dirigidos al uso eficiente de: 1 materiales.</t>
  </si>
  <si>
    <t>UPZ 90
UPZ 97
UPZ 99</t>
  </si>
  <si>
    <t>BOSQUE CALDERON, PARDO RUBIO
CHICO NORTE II SECTOR, CHICO NORTE III SECTOR, EL RETIRO, ESPARTILLAL, CHICO, QUINTA CAMACHO, CHICO NORTE
CHAPINERO NORTE, MARLY, CHAPINERO CENTRAL</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</si>
  <si>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2 proyecto pertenecientes a empresas de tamaño: 2 grandes.
Mayo 2023: 3 proyectos pertenecientes  a empresas de tamaño: 3 medianas.
Junio 2023: 3 proyectos pertenecientes  a empresas de tamaño: 2 pequeñas, 1 grande.
Julio 2023: 2 proyectos pertenecientes  a empresas de tamaño: 1 mediana, 1 grande.
Agosto 2023: 3 proyectos pertenecientes  a empresas de tamaño: 1 pequeña, 1 mediana, 1 grande.
Septiembre 2023: 3 proyectos pertenecientes  a empresas de tamaño: 1 grande, 2 pequeña.
Octubre 2023: 2 proyectos pertenecientes  a empresas de tamaño: 2 mediana, 1 grande.
Noviembre 2023: 2 proyectos pertenecientes  a empresas de tamaño: 1 pequeña, 1 grande.
Diciembre 2023: 1 proyectos pertenecientes  a empresas de tamaño: 1 mediana.</t>
  </si>
  <si>
    <t>SAN CRISTOBAL</t>
  </si>
  <si>
    <t>UPZ50
UPZ51
UPZ32</t>
  </si>
  <si>
    <t xml:space="preserve">LAS GAVIOTAS
YOMASA
SANTA INES SUR II
</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</si>
  <si>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han sido:
Mayo 2022: 2 proyecto perteneciente a  2 empresas grande.
Agosto 2022: 1 proyecto perteneciente a  1 empresa grande.
No obstante, se tiene de esta localidad un acumulado de 3 proyectos pertenecientes a (3 grandes, 0 medianas y 0 pequeña).</t>
  </si>
  <si>
    <t>Del acompañamiento generado a los proyectos dirigidos al mejoramiento del desempeño ambiental se reportan:
Para el mes de abril, 2 proyectos dirigidos al uso eficiente de: 2 energía.
Para el mes de mayo, 2 proyectos dirigidos al uso eficiente de: 1 agua, 1 energía y 1 en disminución RESPEL.
Para el mes de junio, 2 proyectos dirigidos al uso eficiente de: 2 en disminución RESPEL.
Para el mes de julio, 1 proyectos dirigidos al uso eficiente de: 1 energía.
Para el mes de noviembre, 1 proyecto dirigidos a la disminución de emisiones.
Para el mes de diciembre, 1 proyecto dirigidos al uso eficiente de energía.</t>
  </si>
  <si>
    <t>UPZ 91
UPZ 93</t>
  </si>
  <si>
    <t>SAMPER
LAS NIEVES, LA ALAMEDA, VERACRUZ, LA CAPUCHINA</t>
  </si>
  <si>
    <t>NA</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</si>
  <si>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2 proyecto pertenecientes a empresas de tamaño: 2 grandes.
Mayo 2023: 2 proyectos pertenecientes  a empresas de tamaño: 2 grandes.
Mayo 2023: 2 proyectos pertenecientes  a empresas de tamaño: 2 grandes
Junio 2023: 2 proyectos pertenecientes  a empresas de tamaño: 2 pequeñas.
Julio 2023: 1 proyecto pertenecientes  a empresas de tamaño: 1 mediano.
Noviembre 2023: 1 proyecto pertenecientes  a empresas de tamaño: 1 grande.
Diciembre 2023: 1 proyecto pertenecientes  a empresas de tamaño: 1 grande</t>
  </si>
  <si>
    <t>Para el mes de diciembre, 2 proyecto dirigidos al uso eficiente de: 1 energía, 1 materiales.</t>
  </si>
  <si>
    <t>UPZ 34</t>
  </si>
  <si>
    <t>GRANADA SUR</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</si>
  <si>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Diciembre 2023: 2 proyecto pertenecientes a empresas de tamaño: 2 grandes.</t>
  </si>
  <si>
    <t>EL CURUBO</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</si>
  <si>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han sido:
Agosto 2022: 1 proyecto perteneciente a  1 empresa grande.</t>
  </si>
  <si>
    <t>Para el mes de septiembre, 2  proyectos dirigidos al uso eficiente de: 1 en agua y 1 en dicminución de Respel.
Para el mes de octubre, 2 proyectos dirigidos al uso eficiente de: 2 agua.
Para el mes de noviembre, 1 proyectos dirigidos al uso eficiente de: 1 energía</t>
  </si>
  <si>
    <t>ISLA DEL SOL, MUZU</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</si>
  <si>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han sido:
Septiembre 2023: 2 proyectos pertenecientes  a empresas de tamaño: 2 grande.
Octubre 2023: 2 proyectos pertenecientes  a empresas de tamaño: 2 grande.
Octubre 2023: 1 proyecto pertenecientes  a empresas de tamaño: 1 mediano.</t>
  </si>
  <si>
    <t>Del acompañamiento generado a los proyectos dirigidos al mejoramiento del desempeño ambiental se reportan:
Para el mes de abril, 2 proyectos dirigidos al uso eficiente de: 1 agua y 1 en disminución de RESPEL.
Para el mes de mayo, 1 proyectos dirigidos al uso eficiente de: 1 materiales.
Para el mes de septiembre, 1 proyecto dirigidos al uso eficiente de: 1 energía.
Para el mes de octubre, 2 proyectos dirigidos al uso eficiente de: 1 agua y  1 energía.</t>
  </si>
  <si>
    <t>UPZ 85
UPZ 86</t>
  </si>
  <si>
    <t>SAN DIEGO-BOSA, BOSA, JIMENEZ DE QUESADA
EL CORZO</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</si>
  <si>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2 proyectos pertenecientes a empresas de tamaño: 2 grandes.
Mayo 2023: 1 proyecto pertenecientes  a empresas de tamaño: 1 mediana.
Septiembre 2023: 3 proyectos pertenecientes  a empresas de tamaño: 1 grande.
Octubre 2023: 2 proyectos pertenecientes  a empresas de tamaño: 2 pequeñas.</t>
  </si>
  <si>
    <t>Del acompañamiento generado a los proyectos dirigidos al mejoramiento del desempeño ambiental se reportan:
Para el mes de marzo, 1 proyecto dirigido al uso eficiente de materiales.
Para el mes de mayo, 1 proyectos dirigidos al uso eficiente de: 1 materiales.
Para el mes de junio, 2 proyectos dirigidos al uso eficiente de: 1 agua, 1 disminución de RESPEL.
Para el mes de agosto, 2 proyectos dirigidos al uso eficiente de: 1 energía, 1 disminución de emisiones.
Para el mes de septiembre, 2 proyectos dirigidos al uso eficiente de: 1 agua y 1 en energía.
Para el mes de octubre, 5 proyectos dirigidos al uso eficiente de: 1 agua, 2 energía y  2 materiales.
Para el mes de noviembre, 3 proyectos dirigidos al uso eficiente de: 1 agua,  1 energía y 1 materiales.</t>
  </si>
  <si>
    <t>UPZ 44
UPZ 45
UPZ 46
UPZ 78
UPZ 79
UPZ 81
UPZ 113</t>
  </si>
  <si>
    <t>HIPOTECHO OCCIDENTAL, PROVIVIENDA ORIENTAL
ALQUERIA LA FRAGUA II, PROVIVIENDA
VERGEL OCCIDENTAL
EL TINTAL IV
TINTALA
GRAN BRITALIA I
VILLA ALSACIA, LUSITANIA</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</si>
  <si>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Marzo 2023: 1 proyecto perteneciente a  empresa tamaño: 1 grande.
Mayo 2023: 1 proyecto pertenecientes  a empresas de tamaño: 1 grande.
Junio 2023: 2 proyecto pertenecientes  a empresas de tamaño: 1 mediana, 1 pequeña.
Agosto 2023: 2 proyecto pertenecientes  a empresas de tamaño: 2 mediana.
Septiembre 2023: 3 proyectos pertenecientes  a empresas de tamaño: 1 grande, 1 pequeña.
Octubre 2023: 5 proyectos pertenecientes  a empresas de tamaño: 3 mediana, 1 pequeña y 1 grande.
Noviembre 2023: 3 proyectos pertenecientes  a empresas de tamaño: 2 medianas y 1 pequeño.</t>
  </si>
  <si>
    <t>9- FONTIBON</t>
  </si>
  <si>
    <t>Del acompañamiento generado a los proyectos dimidos al mejoramiento del desempeño ambiental se reportan:
Para el mes de febrero, 1 proyecto dirigido al uso eficiente de materiales.
Para el mes de marzo, 4 proyectos dirigidos al uso eficiente: agua 2, materiales 2. 
Para el mes de abril, 3 proyectos dirigidos al uso eficiente de: 1 agua y 2 energía.
Para el mes de mayo, 3 proyectos dirigidos al uso eficiente de: 1 materiales, 2 energía.
Para el mes de junio, 3 proyectos dirigidos al uso eficiente de: 1 agua, 1 disminución de RESPEL.
Para el mes de julio, 1 proyectos dirigidos al uso eficiente de: 1 agua.
Para el mes de septiembre, 9 proyectos dirigidos al uso eficiente de: 2 energía, 2 agua, 4 en materiales y 1 en disminución Respel.
Para el mes de octubre,11 proyectos dirigidos al uso eficiente de: 3 agua, 2 energía, 4 materiales  y  2 en disminución Respel.
Para el mes de noviembre,7 proyectos dirigidos al uso eficiente de: 1 agua, 2 energía, 4 materiales.
Para el mes de diciembre,7 proyectos dirigidos al uso eficiente de: 1 agua, 5 materiales y 1 en disminución de emisiones.</t>
  </si>
  <si>
    <t>UPZ 75
UPZ 76
UPZ 77
UPZ 110
UPZ 112
UPZ 114
UPZ 115
UPZ 117</t>
  </si>
  <si>
    <t>BELEN FONTIBÓN, LA CABANA FONTIBON, VILLEMAR, CENTRO FONTIBÓN
SAN PABLO, JERICO, EL REFUGIO, BRISAS ALDEA FONTIBON
ZONA FRANCA, EL CHANCO I
JARDÍN BOTÁNICO, LA ESPERANZA NORTE
GRANJAS DE TECHO, MONTEVIDEO, FRANCO, INTERINDUSTRIAL
MODELIA OCCIDENTAL, CAPELLANIA
SAN JOSÉ DE FONTIBÓN, PUERTA DE TEJA, SANTA CECILIA
AEROPUERTO EL DORADO</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</si>
  <si>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Febrero 2023: 1 proyecto perteneciente a  empresas tamaño grande.
Marzo 2023: 4 proyectos pertenecientes a  empresas tamaño: 2 grande , 1 mediano, 1 pequeño.
Abril 2023: 3 proyectos pertenecientes a empresas tamaño:1 pequeña, 2 grande.
Mayo 2023: 3 proyectos pertenecientes  a empresas de tamaño: 1 grande, 2 medianas
Junio 2023: 3 proyectos pertenecientes  a empresas de tamaño: 2 pequeñas, 1 grande.
Julio 2023: 1 proyecto pertenecientes  a empresas de tamaño: 1 pequeña.
Septiembre 2023: 9 proyectos pertenecientes  a empresas de tamaño: 3 grande, 4 mediana, 2 pequeña.
Octubre 2023: 11 proyectos pertenecientes  a empresas de tamaño: 3 mediana, 8 grande.
Noviembre 2023: 7 proyectos pertenecientes  a empresas de tamaño: 3 mediana, 3 pequeña y 1 grande.
Diciembre 2023: 7 proyectos pertenecientes  a empresas de tamaño: 5 mediana, 1 pequeña y 1 grande.</t>
  </si>
  <si>
    <t>10- ENGATIVA</t>
  </si>
  <si>
    <t>Del acompañamiento generado a los proyectos dirigidos al mejoramiento del desempeño ambiental se reportan:
Para el mes de abril, 2 proyectos dirigidos al uso eficiente de: 1 agua y 1 energía.
Para el mes de mayo, 4 proyectos dirigidos al uso eficiente de: 2 energía y 2 disminución residuos peligrosos.
Para el mes de junio, 2 proyectos dirigidos al uso eficiente de:  2 disminución residuos peligrosos.
Para el mes de agosto, 1 proyectos dirigidos al uso eficiente de:  1 agua.
Para el mes de septiembre, 4 proyectos dirigidos al uso eficiente de: 1 agua, 2 energía y 1 en materiales.
Para el mes de octubre, 2 proyectos dirigidos al uso eficiente de: 2 energía.
Para el mes de Noviembre, 5 proyectos dirigidos al uso eficiente de: 3 materiales, 1 energía y 1 emisiones.
Para el mes de Diciembre, 4 proyectos dirigidos al uso eficiente de: 4 materiales, 1 energía y 1 emisiones,</t>
  </si>
  <si>
    <t>UPZ 25
UPZ 26
UPZ 30
UPZ 31
UPZ 72
UPZ 74
UPZ 105
UPZ 116</t>
  </si>
  <si>
    <t>SANTA ROSA
LA CABAÑA, SANTA ROSA
BOYACÁ
NORMANDIA OCCIDENTAL, EL ENCANTO
CIUDADELA COLSUBSIDIO
VILLA GLADYS, ENGATIVA ZONA URBANA
JARDÍN BOTÁNICO
LOS ALÁMOS, SAN IGNACIO</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</si>
  <si>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2 proyectos pertenecientes a empresas de tamaño: 1 mediana, 1 grande.
Mayo 2023: 4 proyecto pertenecientes  a empresas de tamaño: 3 medianas y 1 pequeña.
Junio 2023: 2 proyecto pertenecientes  a empresas de tamaño: 2 pequeña.
Agosto 2023: 1 proyecto pertenecientes  a empresas de tamaño:1 grande.
Septiembre 2023: 4 proyectos pertenecientes  a empresas de tamaño: 2 grande, 4 mediana.
Octubre 2023: 2 proyectos pertenecientes  a empresas de tamaño: 1 mediana, 1 pequeña.
Noviembre 2023: 2 proyectos pertenecientes  a empresas de tamaño: 4 mediana, 1 pequeña.
Diciembre 2023: 2 proyectos pertenecientes  a empresas de tamaño: 2 mediana, 1 pequeña, 1 micro.</t>
  </si>
  <si>
    <t>11- SUBA</t>
  </si>
  <si>
    <t>Del acompañamiento generado a los proyectos dirigidos al mejoramiento del desempeño ambiental se reportan:
Para el mes de abril, 4 proyectos dirigidos al uso eficiente de: 3 energía y 1 materiales.
Para el mes de mayo, 2 proyectos dirigidos al uso eficiente de: 1 agua y 1 energía.
Para el mes de junio, 3 proyectos dirigidos al uso eficiente de: 3 en disminución RESPEL.
Para el mes de julio, 2 proyectos dirigidos al uso eficiente de: 1 energía y 1 materiales.
Para el mes de agosto, 2 proyectos dirigidos al uso eficiente de: 1 energía y 1 materiales.
Para el mes de septiembre, 1 proyecto dirigidos al uso eficiente de materiales.
Para el mes de noviembre, 2 proyectos dirigidos al uso eficiente de materiales y energía.</t>
  </si>
  <si>
    <t>UPZ 17
UPZ 19
UPZ 20
UPZ 23
UPZ 25
UPZ 27
UPZ 28</t>
  </si>
  <si>
    <t>MIRANDELA
PRADO VERANIEGO SUR
PUENTE LARGO
SANTA HELENA
JULIO FLOREZ, SANTA ROSA
EL POA, PINOS DE LOMBARDIA
LA CHUCUA, ALTOS DE CHOZICA, VILLA ELISA</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</si>
  <si>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4 proyectos pertenecientes a empresas de tamaño: 1 micro, 1 pequeña, 1 mediana, 1 grande.
Mayo 2023: 2 proyecto pertenecientes  a empresas de tamaño: 1 pequeña y 1 grande.
Junio 2023: 2 proyecto pertenecientes  a empresas de tamaño: 2 pequeña.
Julio 2023: 2 proyectos pertenecientes  a empresas de tamaño: 1 pequeña, 1 mediano.
Agosto 2023: 2 proyectos pertenecientes  a empresas de tamaño: 1 mediano, 1 grande.
Septiembre 2023: 1 proyecto perteneciente  a empresas de tamaño mediano.
Noviembre 2023: 1 proyecto perteneciente  a empresas de tamaño: 1 grande y 1 mediano.</t>
  </si>
  <si>
    <t>Del acompañamiento generado a los proyectos dimidos al mejoramiento del desempeño ambiental se reportan:
Para el mes de marzo, 2 proyectos dirigidos al uso eficiente de materiales.
Para el mes de abril,  3 proyectos dirigidos al uso eficiente de: 1 agua, 1 energía y 1 disminución de RESPEL.
Para el mes de junio,  4 proyectos dirigidos al uso eficiente de: 2 agua, 1 materiales y 1 disminución de RESPEL.
Para el mes de julio,  2 proyectos dirigidos al uso eficiente de: 2 agua.
Para el mes de agosto,  1 proyecto dirigido a la disminución en emisiones.
Para el mes de septiembre, 3 proyectos dirigidos al uso eficiente de: 1 agua, 1 energía y 1 en materiales.
Para el mes de octubre, 2 proyectos dirigidos al uso eficiente de: 2 materiales.
Para el mes de noviembre, 2 proyectos dirigidos al uso eficiente de: 1 energía y 1 materiales.
Para el mes de diciembre, 4 proyectos dirigidos al uso eficiente de: 1 agua, 1 energía y 2 materiales.</t>
  </si>
  <si>
    <t>UPZ 21
UPZ 22
UPZ 98</t>
  </si>
  <si>
    <t>LA CASTELLANA, RIONEGRO, LOS ANDES
POPULAR MODELO
COLOMBIA, POLO CLUB, SAN FELIPE, ALCAZARES, LA MERCED NORTE, SANTA SOFIA</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</si>
  <si>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Marzo 2023: 2 proyectos pertenecientes a empresas tamaño: 2 mediano.
Abril 2023: 3 proyectos pertenecientes a empresas tamaño: 3 pequeñas.
Mayo 2023: 1 proyecto pertenecientes  a empresas de tamaño: 1 mediana.
Junio 2023: 4 proyecto pertenecientes  a empresas de tamaño: 3 pequeñas, 1 grande.
Julio 2023: 2 proyectos pertenecientes  a empresas de tamaño: 1 pequeño , 1 mediano
Agosto 2023: 1 proyectos pertenecientes  a empresas de tamaño: 1 grande.
Septiembre 2023: 3 proyectos pertenecientes  a empresas de tamaño: 2 grande, 1 mediana.
Octubre 2023: 2 proyectos pertenecientes  a empresas de tamaño: 2 mediana.
Noviembre 2023: 2 proyectos pertenecientes  a empresas de tamaño: 1 mediana y 1 grande.
Diciembre 2023: 4 proyectos pertenecientes  a empresas de tamaño: 2 mediana, 1 pequeña y 1 grande.</t>
  </si>
  <si>
    <t>Del acompañamiento generado a los proyectos dimidos al mejoramiento del desempeño ambiental se reportan:
Para el mes de marzo, 1 proyecto dirigido al uso eficiente de materiales.
Para el mes de abril,  2 proyectos dirigidos al uso eficiente de: 1 materiales y 1 disminución de RESPEL.
Para el mes de mayo, 1 proyectos dirigidos al uso eficiente de: 1 materiales.
Para el mes de septiembre, 2 proyectos dirigidos al uso eficiente de: 1 energía y 1 en materiales.
Para el mes de octubre, 1 proyectos dirigidos al uso eficiente de: 1 materiales.
Para el mes de noviembre, 2 proyectos dirigidos al uso eficiente de: 2 materiales.
Para el mes de diciembre, 2 proyectos dirigidos al uso eficiente de: 1 agua y 1 energía.</t>
  </si>
  <si>
    <t>UPZ 100
UPZ 101
UPZ 104
UPZ 107
UPZ 109</t>
  </si>
  <si>
    <t>CHAPINERO OCCIDENTAL, QUESADA
LAS AMERICAS, TEUSAQUILLO
CENTRO ADMINISTRATIVO OCC.
ACEVEDO TEJADA, ORTEZAL
CIUDAD SALITRE NORORIENTAL</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</si>
  <si>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Marzo 2023: 1 proyectos pertenecientes a empresas tamaño: 1 pequeño.
Abril 2023: 2 proyectos pertenecientes a empresas  de tamaño: 1 pequeña, 1 grande.
Mayo 2023: 1 proyecto pertenecientes  a empresas de tamaño: 1 mediana.
Septiembre 2023: 2 proyectos pertenecientes  a empresas de tamaño: 1 grande, 1 mediana.
Octubre 2023: 1 proyecto perteneciente  a empresa de tamaño: 1 pequeño.
Noviembre 2023: 2 proyecto perteneciente  a empresa de tamaño: 1 pequeño y 1 grande.
Diciembre 2023: 2 proyecto perteneciente  a empresa de tamaño: 2 medianas.</t>
  </si>
  <si>
    <t>14- LOS MÁRTIRES</t>
  </si>
  <si>
    <t>Del acompañamiento generado a los proyectos dirigidos al mejoramiento del desempeño ambiental se reportan:
Para el mes de abril, 1 proyecto dirigido al uso eficiente de: 1 materiales.
Para el mes de mayo, 3 proyectos dirigidos al uso eficiente de: 1 materiales, 1 agua y 1 energía.
Para el mes de septiembre, 1 proyecto dirigido al uso eficiente de materiales.
Para el mes de noviembre, 1 proyecto dirigido al uso eficiente de materiales.
Para el mes de diciembre, 2 proyectos dirigidos al uso eficiente de materiales y 1 en disminución de emisiones.</t>
  </si>
  <si>
    <t>UPZ 37
UPZ 102</t>
  </si>
  <si>
    <t>SANTA ISABEL, EL VERGEL
FLORIDA, PALOQUEMAO, SANTAFE</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</si>
  <si>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1 proyecto pertenecientes a empresas de tamaño: 1 pequeña.
Mayo 2023: 3 proyecto pertenecientes  a empresas de tamaño: 1 medianas y 2 pequeñas.
Septiembre 2023: 1 proyecto perteneciente  a empresas de tamaño pequeño.
Noviembre 2023:  1 proyecto perteneciente  a empresas de tamaño pequeño.
Diciembre 2023: 2 proyectos pertenecientes  a empresas de tamaño: 2 pequeñas.</t>
  </si>
  <si>
    <t>Del acompañamiento generado a los proyectos dirigidos al mejoramiento del desempeño ambiental se reportan:
Para el mes de abril, 1 proyecto dirigido al uso eficiente de: 1 materiales.
Para el mes de mayo, 1 proyecto dirigidos al uso eficiente de: 1 materiales.
Para el mes de agosto, 1 proyecto dirigido al uso eficiente de: 1 agua.
Para el mes de noviembre, 5 proyecto dirigidos al uso eficiente de: 1 agua, 2 energía y 2 materiales</t>
  </si>
  <si>
    <t>UPZ 35
UPZ 38</t>
  </si>
  <si>
    <t>LA HORTUA
RESTREPO OCCIDENTAL ,RESTREPO, SANTANDER, SANTANDER SUR</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</si>
  <si>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Abril 2023: 1 proyecto pertenecientes a empresas de tamaño: 1 pequeña.
Mayo 2023: 1 proyecto pertenecientes  a empresas de tamaño: 1 pequeña.
Agosto 2023: 1 proyecto pertenecientes  a empresas de tamaño: 1 pequeña.
Noviembre 2023: 5 proyecto pertenecientes  a empresas de tamaño: 3 grandes, 1 mediana y 1 pequeña.</t>
  </si>
  <si>
    <t>Del acompañamiento generado a los proyectos dimidos al mejoramiento del desempeño ambiental se reportan:
Para el mes de febrero, 7 proyectos dirigidos al uso eficiente de: 2 materiales, 2 energía, 2 agua y 1 disminución de residuos peligrosos.
Para el mes de marzo, 10 proyectos dirigidos al uso eficiente: agua 1, energía 2, materiales 5 y diminución de residuos peligrosos 1.
Para el mes de abril, 5 proyectos dirigidos al uso eficiente de: 1 agua, 2 energía, 1 materiales 1 disminución de RESPEL.
Para el mes de mayo, 1 proyecto dirigidos al uso eficiente de: 1 agua.
Para el mes de junio, 6 proyectos dirigidos al uso eficiente de: 4 agua y 2 en disminución RESPEL.
Para el mes de septiembre, 7 proyectos dirigidos al uso eficiente de: 2 agua, 1 energía, 1 en materiales, 2 en diminución Respel y 1 en emisiones.
Para el mes de octubre, 8 proyectos dirigidos al uso eficiente de: 1 agua, 2 energía, 4 materiales 1 en disminuión Respel.
Para el mes de noviembre, 6 proyectos dirigidos al uso eficiente de: 2 agua, 3 energía y 1 materiales.
Para el mes de diciembre, 4 proyectos dirigidos al uso eficiente de: 3 energía y 1 materiales.</t>
  </si>
  <si>
    <t>UPZ40
UPZ 41
UPZ 43
UPZ 108
UPZ 111</t>
  </si>
  <si>
    <t>COMUNEROS
ALQUERIA,AUTOPISTA MUZU, AUTOPISTA MUZU ORIENTAL
SAN RAFAEL INDUSTRIAL, BARCELONA.
EL EJIDO, GORGONZOLA, LOS EJIDOS, INDUSTRIAL CENTENARIO, ESTACIÓN CENTRAL, LA FLORIDA OCCIDENTAL, ORTEZAL, PENSILVANIA. 
SALAZAR GOMEZ, PUENTE ARANDA, CENTRO INDUSTRIAL.</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</si>
  <si>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han sido:
Febrero 2023: 6 proyectos perteneciente a empresas:  2 grandes, 1 mediana, 3 pequeña y 1micro. 
Marzo 2023: 9 proyectos pertenecientes a empresas tamaño: 4 grande, 3 mediana, 2 pequeña.
Abril 2023: 5 proyectos pertenecientes a empresas de tamaño: 2 pequeños, 1 mediana, 2 grandes.
Mayo 2023: 1 proyecto pertenecientes  a empresas de tamaño: 1 grande.
Junio 2023: 6 proyecto pertenecientes  a empresas de tamaño: 3 medianas, 3 pequeñas.
Septiembre 2023: 7 proyectos pertenecientes  a empresas de tamaño: 4 grande, 1 mediana, 2 pequeña.
Octubre 2023: 8 proyectos pertenecientes  a empresas de tamaño: 5 mediana, 3 grande.
Noviembre 2023: 6 proyectos pertenecientes  a empresas de tamaño: 4 mediana, 1 grande, 1 pequeña.
Diciembre 2023: 4 proyectos pertenecientes  a empresas de tamaño: 3 mediana, 1 pequeña.</t>
  </si>
  <si>
    <t>17- LA CANDELARIA</t>
  </si>
  <si>
    <t>Para el mes de septiembre, 2 proyectos dirigidos al uso eficiente de agua.</t>
  </si>
  <si>
    <t>CENTRO ADMINISTRATIVO, SANTA BARBARA</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</si>
  <si>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Septiembre 2023: 2 proyectos pertenecientes  a empresas de tamaño: 1 grande.</t>
  </si>
  <si>
    <t>18- RAFAEL URIBE URIBE</t>
  </si>
  <si>
    <t>Para el mes de noviembre, 1 proyecto dirigidos al uso eficiente de materiales.</t>
  </si>
  <si>
    <t>UPZ36</t>
  </si>
  <si>
    <t>GUSTAVO RESTREPO</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</si>
  <si>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Noviembre 2023: 1 proyecto pertenecientes  a empresas de tamaño: 1 mediano.</t>
  </si>
  <si>
    <t>Del acompañamiento generado a los proyectos dimidos al mejoramiento del desempeño ambiental se reportan:
Para el mes de febrero, 1 proyecto dirigido al uso eficiente de energía.
Para el mes de marzo, 2 proyectos dirigidos al uso eficiente: energía 1, disminución de residuos peligrosos 1.
Para el mes de mayo, 2 proyectos dirigidos al uso eficiente de: 1 materiales y 1 agua.
Para el mes de junio, 1 proyectos dirigidos al uso eficiente de: 1 en disminución de RESPEL.
Para el mes de septiembre, 1 proyecto dirigido a la disminución de Respel.
Para el mes de octubre, 2 proyectos dirigidos al uso eficiente de: 1 energía y  1 materiales.
Para el mes de noviembre, 1 proyectos dirigidos al uso eficiente de: 1 energía.
Para el mes de diciembre, 1 proyectos dirigidos al uso eficiente de: 1 materiales.</t>
  </si>
  <si>
    <t>UPZ 65
UPZ 69</t>
  </si>
  <si>
    <t>EL ENSUEÑO, GUADALUPE, VERONA
LA ESTANCIA, BARLOVENTO, LOS TRES REYES</t>
  </si>
  <si>
    <t>La asistencia técnica para el mejoramiento del desempeño ambiental aplica para proyectos presentados por el sector empresarial ubicado en el perímetro urbano de Bogotá, los participantes son empresas legalmente constituidas y por la naturaleza comercial su área de influencia se enmarca a distrito capital en donde por ende se incluye la localidad en donde se ubica. 
El programa clasifica el tamaño de las empresas por número de empleados, por lo cual ha sido:
Febrero 2023: 1 proyecto perteneciente a empresas tamaño: 1 grande.
Marzo 2023: 2 proyectos pertenecientes a empresas tamaño: 2 grande.
Mayo 2023: 2 proyecto pertenecientes  a empresas de tamaño: 2 medianas.
Junio 2023: 1 proyecto pertenecientes  a empresas de tamaño: 1 pequeña.
Septiembre 2023: 1 proyecto perteneciente  a empresas de tamaño mediano.
Octubre 2023: 2 proyectos pertenecientes  a empresas de tamaño: 2 grande.
Noviembre 2023: 1 proyecto pertenecientes  a empresas de tamaño: 1  grande.
Diciembre 2023: 1 proyecto pertenecientes  a empresas de tamaño: 1  mediana.</t>
  </si>
  <si>
    <t>CHAPINERO, BOSA, USME, PUENTE ARANDA, CIUDAD BOLIVAR, ENGATIVA, FONTIBÓN, KENNEDY, MARTIRES, RAFAEL URIBE URIBE, SAN CRISTOBAL, SUBA, TUNJUELITO, USAQUEN Y ESPECIAL</t>
  </si>
  <si>
    <t>Varias 
 (Remitirse a Generación de Shape)</t>
  </si>
  <si>
    <t>DISTRITAL: acompañamiento y verificación de los Negocios Verdes que se encuentran en la ciudad, por la  oferta de bienes y servicios de impacto ambiental positivo.</t>
  </si>
  <si>
    <t xml:space="preserve">DISTRITAL
</t>
  </si>
  <si>
    <t>Teniendo en cuenta que son negocios nuestra población objeto no se limita a algún grupo etario o con condición poblacional específica el alcance sino a toda la población de la localidad y/o el distrito capital</t>
  </si>
  <si>
    <t>1- USAQUEN</t>
  </si>
  <si>
    <t>Se realizó verificación de requisitos para el negocio Verde TRENDIER COLOMBIA SAS, NEOTROPCO COLOMBIA SAS, VEGAN LIFE, KOJI ES TRANSFORMACIÓN SAS, AKASHA DESIGN LAB S.A.S Y CONSENTIDOS POR NATURALEZA SAS</t>
  </si>
  <si>
    <t>USAQUEN</t>
  </si>
  <si>
    <t>13
14
16</t>
  </si>
  <si>
    <t>LAS MARGARITAS SECOR I
USAQUEN
SANTA BARBARA CENTRAL III SECTOR
SANTA BARBARA CENTRAL
CEDRITOS</t>
  </si>
  <si>
    <t>Punto.
PUN_7794_06_122023</t>
  </si>
  <si>
    <t>Se realizó visita y verificación de criterios para el registro de NANOMAC DC SAS BIC, ARTP INVERSIONES SAS y GOLDENSEC COLOMBIA SAS
como Negocio Verde, según los parámetros previamente establecidos</t>
  </si>
  <si>
    <t>ANTIGUO COUNTRY
PORCIUNCULA
S.C EL CHICO</t>
  </si>
  <si>
    <t>Punto.
PUN_7794_06_102023</t>
  </si>
  <si>
    <t>Se realizó visita y verificación de criterios para el registro de KTA- DISEÑO DE ACCESORIOS
 como Negocio Verde, según los parámetros previamente establecidos</t>
  </si>
  <si>
    <t xml:space="preserve">LAS GUACAMAYAS
</t>
  </si>
  <si>
    <t>Punto.
PUN_7794_06_072023</t>
  </si>
  <si>
    <t>Se realizó visita y verificación de criterios para el registro de JOYAS DE ARTES SOSTENIBLE y ESENCIAS SOSTENIBLES SAS
 como Negocio Verde, según los parámetros previamente establecidos</t>
  </si>
  <si>
    <t>TUNJUELITO</t>
  </si>
  <si>
    <t>RINCON DE VENECIA
TUNAL SECTOR II</t>
  </si>
  <si>
    <t>Punto.
PUN_7794_06_082023</t>
  </si>
  <si>
    <t>Se realizó verificación de requisitos para el negcio Verde ASOCIACIÓN DE RECICLADORES WAY OF HOPE</t>
  </si>
  <si>
    <t>BOSA</t>
  </si>
  <si>
    <t>LA PAZ</t>
  </si>
  <si>
    <t>Se realizó visita y verificación de criterios para el registro de AGROCOLOMBIA EXPORT SAS
 como Negocio Verde, según los parámetros previamente establecidos</t>
  </si>
  <si>
    <t>VALLADOLID</t>
  </si>
  <si>
    <t>Se realizó visita y verificación de criterios para el registro de MOLIPLASTICOS LYF SAS
como Negocio Verde, según los parámetros previamente establecidos</t>
  </si>
  <si>
    <t>FONTIBON</t>
  </si>
  <si>
    <t>EL CHARCO</t>
  </si>
  <si>
    <t>Se realizó visita y verificación de criterios para el registro de R3COROPA RESPONSABLE SAS BIC, AQSTICA SAS, URBAN CAR BAG SAS, BOLSA VIDA SAS Y DESTINOS TOUR COLOMBIA SAS BIC como Negocio Verde, según los parámetros previamente establecidos</t>
  </si>
  <si>
    <t>ENGATIVA</t>
  </si>
  <si>
    <t>26, 30, 116</t>
  </si>
  <si>
    <t>VILLA DEL MAR
LAS FERIAS OCCIDENTAL 
LAS FERIAS
LA GRANJA
PARIS</t>
  </si>
  <si>
    <t>Punto.
PUN_7794_06_112023</t>
  </si>
  <si>
    <t>Se realizó visita y verificación de criterios para el registro de KULTY COLOMBIA SAS, CAMALEÓN BAG SAS Y AV AGUA, VIDA SAS, ORGANIC MODE SAS Y NATALIA SERNA 
 como Negocio Verde, según los parámetros previamente establecidos</t>
  </si>
  <si>
    <t>SUBA</t>
  </si>
  <si>
    <t>18
20
24
25</t>
  </si>
  <si>
    <t>NIZA
GILMAR
PUENTE LARGO
VISTA BELLA
POTOSI</t>
  </si>
  <si>
    <t>Se realizó verificación de requisitos para el negcio Verde REVOLUCIÓN URBANA SAS BIC</t>
  </si>
  <si>
    <t>BARRIOS UNIDOS</t>
  </si>
  <si>
    <t>UPZ98</t>
  </si>
  <si>
    <t>SAN FELIPE</t>
  </si>
  <si>
    <t>Se realizó visita y verificación de criterios para el registro de ECO-TRICICLOS SAS
 como Negocio Verde, según los parámetros previamente establecidos</t>
  </si>
  <si>
    <t>LOS MARTIRES</t>
  </si>
  <si>
    <t xml:space="preserve">102
</t>
  </si>
  <si>
    <t>RICAURTE</t>
  </si>
  <si>
    <t>Los negocios verificados son microempresas, razón por la cual tiene pocas personas que la conforman. Se describe el género y el grupo etario de éstos.</t>
  </si>
  <si>
    <t>Se realizó visita y verificación de criterios para el registro de D´CLASSE
 como Negocio Verde, según los parámetros previamente establecidos</t>
  </si>
  <si>
    <t>ANTONIO NARIÑO</t>
  </si>
  <si>
    <t xml:space="preserve">35
</t>
  </si>
  <si>
    <t xml:space="preserve">CIUDAD JARDIN DEL SUR
</t>
  </si>
  <si>
    <t>16 - PUENTE ARANDA</t>
  </si>
  <si>
    <t>Se realizó visita y verificación de criterios para el registro de Compañía de servicios y logística de Colombia SAS, DORA ISABEN MARTINEZ BUSTOS, MYRIAM RODRÍGUEZ SUAREZ Y AMARALIA BN SAS 
como Negocio Verde, según los parámetros previamente establecidos</t>
  </si>
  <si>
    <t>PUENTE ARANDA</t>
  </si>
  <si>
    <t xml:space="preserve">41-43 - 46 - 77
</t>
  </si>
  <si>
    <t>LA FLORIDA OCCIDENTAL
EL JAZMIN II SECTOR
SAN FRANCISCO
OSPINA PEREZ SUR</t>
  </si>
  <si>
    <t>10 - MADRES CABEZA DE HOGAR</t>
  </si>
  <si>
    <t>#REF!</t>
  </si>
  <si>
    <t>Desarrollar 6 proyectos pilotos de economía circular en sectores productivos priorizados</t>
  </si>
  <si>
    <t>DISTRITAL: se realiza un análisis e identificación de oportunidades en economía circular, para posteriormente formular proyectos pilotos en diferentes sectores económicos.</t>
  </si>
  <si>
    <t>Para el mes de octubre se aprueba el producto No 1 del proyecto "Plataforma Regional de Economía Circular " para todas las ciudades particiapentes y se inicia el desarrollo del producto nuemro 2, el cual busca desarollar las oportundades de Economía Circular en los sectores priorizados. Finalmente, en el proyecto de Red Moda Circular se reportan los resultados de los trabajos de gestión de dotaciones que se realizaron durante la vigenca 2023, y se culmina el proceso de formación de Manos Reparadoras con Secretaria de Desarrollo Económico - SDDE con impulso local y ruta E y el SENA, paso importante en la definición de la hoja de ruta para que los proyectos incorporen las prácticas de economía circular.</t>
  </si>
  <si>
    <t>Debido a que su aplicación en para toda la ciudad, no se indica la especificidad en la descripción de la población. La población relacionada con la localización corresponde a las localidades donde se encuentran las empresas inscritas a la fecha.</t>
  </si>
  <si>
    <t xml:space="preserve">DISTRITAL
Formulación del primer proyecto a realizar con el sector de curtiembres siendo uno de los tres sectores priorizados por el POMCA (Curtiembres, galvanoplastia y minería); razón por la cual, durante el reporte aún no se presenta resultados de territorialización, considerando la fase de formulación en la que se encuentra. Una vez, inicie la implementación de los proyectos se realizará el respectivo alcance territorial. </t>
  </si>
  <si>
    <t>Se realiza la actualización teniendo en cuenta que ya se estan ejecutando los proyectos de cada sectores priorizados del POMCA (Curtiembres, galvanoplastia y minería) y continuán en implementacion transversal los proyectos transversales</t>
  </si>
  <si>
    <t xml:space="preserve">Se avanzó en los proyectos que cuentan con actividades transversales relacionados con los sellos ambientales y el banco de proyectos en buenas prácticas ambientales, Producción más Limpia y economía circular. Para el sector metalurgia, se continuó con la fase 2 del proyecto de fortalecimiento, para el sector de minería se encuentra la implementación del proyecto de ladrillos verdes y para el sector curtidor se continuó con el proyecto de San Benito Circular Fase 2 y actividades relacionadas con el cumplimiento de la sentencia del río Bogotá.
</t>
  </si>
  <si>
    <t xml:space="preserve">Punto. https://drive.google.com/drive/u/5/folders/16UCIUekSew52hc5yuF8fx9d47pJapAxd
</t>
  </si>
  <si>
    <t>METALURGIA(GALVANICO)</t>
  </si>
  <si>
    <t xml:space="preserve">ENGATIVA
LOS MARTIRES
PUENTE ARANDA
TUNJUELITO
KENNEDY
FONTIBON
CIUDAD BOLIVAR
</t>
  </si>
  <si>
    <t>6
3</t>
  </si>
  <si>
    <t>Se adelantaron actividades del proyecto de fortalecimiento de metalurgía con enfoque de cadena de valor</t>
  </si>
  <si>
    <t>MINERIA</t>
  </si>
  <si>
    <t>USME</t>
  </si>
  <si>
    <t>57- GRAN YOMASA</t>
  </si>
  <si>
    <t>Se encuentra en implementación el proyecto de ladrillos verdes</t>
  </si>
  <si>
    <t>CURTIEMBRES</t>
  </si>
  <si>
    <t>UPZ62</t>
  </si>
  <si>
    <t>SAN BENITO</t>
  </si>
  <si>
    <t>Se adelantaron actividades del proyecto de San benito Circular II</t>
  </si>
  <si>
    <t>Se encuentran en etapa de ejecución los dos proyectos transversales sellos ambientales y banco de proyectos</t>
  </si>
  <si>
    <t>Articular y consolidar un (1) Plan de Acción Climática para Bogotá D.C. 2020 - 2050.</t>
  </si>
  <si>
    <t>DISTRITAL
consolidación de un documento que presente los ejes programáticos y el cronograma de un plan con acciones articuladas de gestión ambiental, gestión del cambio climático y gestión del riesgo de desastres, para que Bogotá se prepare con medidas de mitigación y de adaptación al cambio climático, en un periodo de 30 años (de 2020 a 2050).</t>
  </si>
  <si>
    <t>Política Nacional de Cambio Climático
Política Nacional de Gestión del Riesgo de Desastres</t>
  </si>
  <si>
    <t>DISTRITAL
Ejecución de acciones tanto de mitigación de gases de efecto invernadero, como de adaptación con resiliencia al cambio climático, asociados al Plan de Acción Climática</t>
  </si>
  <si>
    <t xml:space="preserve">Las distintas actividades ejecutadas para cumplir con la meta se realizan en todo el Distrito Capital y no en puntos específicos.
</t>
  </si>
  <si>
    <t>TOTALES - PROYECTO</t>
  </si>
  <si>
    <t>TOTALES Rec. Vigencia</t>
  </si>
  <si>
    <t>TOTALES Rec. Reservas</t>
  </si>
  <si>
    <t>TOTAL PRESUPUESTO</t>
  </si>
  <si>
    <t>Se incluyen   columnas con nuevos patrones de medición en los componentes de Gestión e Inversión</t>
  </si>
  <si>
    <t>Formato: Programación, Actualización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</si>
  <si>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</si>
  <si>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</si>
  <si>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</si>
  <si>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</si>
  <si>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</si>
  <si>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</si>
  <si>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</si>
  <si>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</si>
  <si>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</si>
  <si>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</si>
  <si>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</si>
  <si>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</si>
  <si>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12-OTROS DISTRITO</t>
  </si>
  <si>
    <t>NOVIEMBRE</t>
  </si>
  <si>
    <t>DICIEMBRE</t>
  </si>
  <si>
    <t>I PRESUPUESTAL VIGENCIA 2021</t>
  </si>
  <si>
    <t>ENERO</t>
  </si>
  <si>
    <t>FEBRERO</t>
  </si>
  <si>
    <t>MARZO</t>
  </si>
  <si>
    <t>ABRIL</t>
  </si>
  <si>
    <t>MAYO</t>
  </si>
  <si>
    <t>JUNIO</t>
  </si>
  <si>
    <t>I PRESUPUESTAL VIGENCIA 2022</t>
  </si>
  <si>
    <t>1-100-F001-VA-RECURSOS DISTRITO</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</si>
  <si>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</si>
  <si>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</si>
  <si>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</si>
  <si>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</si>
  <si>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</si>
  <si>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</si>
  <si>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</si>
  <si>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</si>
  <si>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</si>
  <si>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</si>
  <si>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</si>
  <si>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</si>
  <si>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</si>
  <si>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</si>
  <si>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</si>
  <si>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</si>
  <si>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Promover el ecourbanismo y construcción sostenible</t>
  </si>
  <si>
    <t>Servicio de asistencia técnica para la incorporación de variables ambientales en la planificación sectorial</t>
  </si>
  <si>
    <t>Entidades y sectores asistidos técnicamente para la incorporación de variables ambientales en la planificación sectorial</t>
  </si>
  <si>
    <t>Durante el mes de octubre de 2020, se incorporó criterios de sostenibilidad ambiental a 11 proyectos, tanto en espacio público como en privado. Así mismo, se realizó la verificación a la incorporación de determinantes ambientales a 4 proyectos de infraestructura en el espacio público.</t>
  </si>
  <si>
    <t>Fortalecer las capacidades de las actividades económicas, hacia modelos con enfoque de sostenibilidad, economía circular  e innovación que permita la transición hacia un crecimiento verde</t>
  </si>
  <si>
    <t>Servicio de asistencia técnica para la consolidación de negocios verdes</t>
  </si>
  <si>
    <t xml:space="preserve">Negocios verdes consolidados </t>
  </si>
  <si>
    <t>Se reconoce a dos (2) negocios verdes en el mes de octubre que obtienen un puntaje mayor del 50% en los criterios evaluados, generando un acumulado de ocho (8) negocios verdes. Adicionalmente, 10 negocios verdes fueron aceptados en el marco de la convocatoria de Innpulsa -Cree.</t>
  </si>
  <si>
    <t>Intervenir  los sectores priorizados por el POMCA del Río Bogotá, a través de proyectos de producción más Limpia</t>
  </si>
  <si>
    <t>Servicio de divulgación de la incorporación de consideraciones ambientales en la planificación sectorial</t>
  </si>
  <si>
    <t>Campañas divulgadas</t>
  </si>
  <si>
    <t xml:space="preserve">Durante octubre se avanzó en la formulación del proyecto dirigido al sector de las curtiembres, se definieron los antecedentes, identificación de la problematica y una formulación preliminar de alternativas. Adicionalmente se avanzó en el inventario de curtiembres, se han identificado 309 usuarios. </t>
  </si>
  <si>
    <t>Articular, consolidar e iniciar la implementación de un plan de acción que oriente las acciones para afrontar los efectos del cambio climático en el Distrito Capital en el periodo 2020 - 2050</t>
  </si>
  <si>
    <t>Documentos de lineamientos técnicos para mejorar la calidad ambiental de las áreas urbanas</t>
  </si>
  <si>
    <t>Documentos de lineamientos técnicos para para mejorar la calidad ambiental de las áreas urbanas elaborados.</t>
  </si>
  <si>
    <t>Avance en la formulación del Plan de Acción Climática y en algunas acciones priorizadas, que contribuyen a mejorar la calidad ambiental y reducir los efectos del cambio climático, en especial, mediante medidas de adaptación.</t>
  </si>
  <si>
    <t>Durante el mes de noviembre de 2020, se incorporó criterios de sostenibilidad ambiental a 11 proyectos, tanto en espacio público como en privado. Así mismo, se realizó la verificación a la incorporación de determinantes ambientales a 6 proyectos de infraestructura en el espacio público - Parques Distritales.</t>
  </si>
  <si>
    <t>Se reconoce a UN (1) negocio verde en el mes de noviembre que obtienen un puntaje mayor del 53% en los criterios evaluados, generando un acumulado de nueve (9) negocios verdes. Adicionalmente, 10 negocios verdes fueron aceptados en el marco de la convocatoria de Innpulsa -Cree.</t>
  </si>
  <si>
    <t>Durante noviembre se avanzó en la formulación del proyecto dirigido al sector de las curtiembres, se definieron las alternativas de posibles proyectos, las cuales fueron priorizados a través de criterios, económicos, técnicos y legales. Esta priorización permitió establecer que la alternativa de mayor viabilidad es desarrollar un proyecto de  Fortalecimiento de la cadena de valor del cuero sostenible. Adicionalmente para avanzar en el censo de curtiembres, actualmente se esta procesando la base de datos recibida de la camara de comercio.</t>
  </si>
  <si>
    <t>Avance en la formulación del Plan de Acción Climática; el documento se encuentra al 80%. También, se han realizado acciones priorizadas, que contribuyen a mejorar la calidad ambiental y reducir los efectos del cambio climático, en especial, mediante medidas de adaptación.</t>
  </si>
  <si>
    <t>Durante el mes de diciembre de 2020, se incorporó y verifico criterios de sostenibilidad ambiental a diecinueve (19) proyectos. Así mismo, se brindo acompañamiento tecnico a 290 m2 de techos verdes y jardines verticales en la ciudad.</t>
  </si>
  <si>
    <t xml:space="preserve">Se reconoce a un (1) negocio verde en el mes de diciembre que obtienen un puntaje mayor del 57% en los criterios evaluados, generando un acumulado de diez (10) negocios verdes que permiten el cumplimiento de la meta. </t>
  </si>
  <si>
    <t xml:space="preserve">Durante el mes de diciembre se avanzó en la formulación del proyecto dirigido al sector de las curtiembres. Se definieron objetivo general, específicos y se concluyo la fase de formulacion del proyecto. Adicionalmente, se avanzó en el diagnóstico ambiental sectorial. Todo esto sumado a la operación de la mesa de curtiembres y las demás reuniones de gestión requeridas. Así mismo, se apoyo el proceso de votación en presupuestos participativos para el desarrollo del Centro de Innovación Ambiental y de calidad CINAC".
</t>
  </si>
  <si>
    <t>Plan de Acción Climática (versión 1) formulado.
Ejecución de algunas acciones de adaptación al cambio climatico priorizadas, para mejorar la calidad ambiental y reducir los efectos del cambio climático.</t>
  </si>
  <si>
    <t>II PRODUCTO (FÍSICO) VIGENCIA 2021</t>
  </si>
  <si>
    <t>% PESO 2021</t>
  </si>
  <si>
    <t>META VIGENCIA  2021</t>
  </si>
  <si>
    <t>AVANCE VIGENCIA 2021</t>
  </si>
  <si>
    <t>% AVANCE VIGENCIA 2021</t>
  </si>
  <si>
    <t>Durante el mes de enero de 2021, se incorporó y verifico criterios de sostenibilidad ambiental a diez (10) proyectos. Así mismo, se brindo acompañamiento tecnico a 245 m2 de techos verdes y jardines verticales en la ciudad.</t>
  </si>
  <si>
    <t xml:space="preserve">Se reconoce a un (1) negocio verde en el mes de enero que obtienen un puntaje mayor del 51% en los criterios evaluados, generando el cumplimiento de la meta. </t>
  </si>
  <si>
    <t>Durante el mes de enero se inició con la formulación del proyecto dirigido al sector de galvanoplastia, con quienes se desarrollo una agenda de 9 reuniones que pemitieron definir las lineas de acción para el proyecto de fortalecimiento del sector de recubrimientos electroliticos, con enfoque de cadena de valor. 
Para el sector de minería se realizó un conversatorio sobre la gobernanza de los recursos minerales, con la asistencia de 40 personas y permitió hacer un acercamiento con los empresarios de la mineria de la ciudad con el fin de difundir sus buenas practicas.</t>
  </si>
  <si>
    <t>Ejecución de algunas acciones de adaptación al cambio climático priorizadas del Plan de Acción Climática para Bogotá 2020-2050, para mejorar la calidad ambiental y reducir los efectos del cambio climático.</t>
  </si>
  <si>
    <t>Durante el mes de febrero de 2021, se incorporó y verifico criterios de sostenibilidad ambiental a catorce (14) proyectos. Así mismo, se brindo acompañamiento tecnico a 301 m2 de techos verdes y jardines verticales en la ciudad.</t>
  </si>
  <si>
    <t xml:space="preserve">Se reconoce a un (1) negocio verde en el mes de febrero que obtiene un puntaje del 58% en los criterios evaluados, generando el cumplimiento de la meta. </t>
  </si>
  <si>
    <t>El primer proyecto formulado fue del sector curtiembres y en este sentido una en la mesa distrital de curtiembres llevada a cabo el día 19 de febrero. Así mismo, se continuó con la formulación del proyecto dirigido al sector de galvanoplastia. Para el sector de minería se realizó reunión con la Secretaría Distrital de Planeación para analizar la inclusión de actividades mineras en el POT. Adicionalmente, se realizó la consolidación de necesidades y propuestas para el articulado del POT.</t>
  </si>
  <si>
    <t>Articular, consolidar e iniciar la implementación de un plan de acción que oriente las acciones para afrontar los efectos del cambio climático en el Distrito Capital en el periodo 2020 - 2051</t>
  </si>
  <si>
    <t>Durante el mes de marzo de 2021, se incorporó y verifico criterios de sostenibilidad ambiental a diecisiete (17) proyectos. Así mismo, se brindo acompañamiento tecnico a 296 m2 de techos verdes y jardines verticales en la ciudad.</t>
  </si>
  <si>
    <t xml:space="preserve">Se reconoce a un (1) negocio verde en el mes de marzo que obtiene un puntaje del 63% en los criterios evaluados, generando el cumplimiento de la meta. </t>
  </si>
  <si>
    <t xml:space="preserve">Se sustentó ante el panel de evaluadores de Innpulsa la formulación realizada conjuntamente con la Universidad de los Andes para el fortalecimiento de la innovación y los mercados sostenibles, en San Benito se definió conjutamente con la CAR, la jornada de capacitación en buenas practicas de PML dirigida a todas las curtiembres.
Para el sector de galvanoplastia, se inscribieron 11 empresas , a las cuales se les aplicó una encuesta que permitió definir las prioridades de las líneas de intervención del proyecto y los temas de asistencia técnica a desarrollar.   </t>
  </si>
  <si>
    <t>Ajustes al Plan de Acción Climática para Bogotá 2020-2050 y ejecución de algunas acciones de adaptación para mejorar la calidad ambiental y reducir los efectos del cambio climático.</t>
  </si>
  <si>
    <t>Durante el mes de abril de 2021, se incorporó y verifico criterios de sostenibilidad ambiental a diecisiete (17) proyectos. Así mismo, se brindo acompañamiento tecnico a 300 m2 de techos verdes y jardines verticales en la ciudad.</t>
  </si>
  <si>
    <t xml:space="preserve">Se reconocen 5 negocios verdes; 1 (ene), 1 (feb), 1 (mar) y 2 (abril), los cuales superaron el 51% de los criterios evaluados, logrando el cumplimiento de la meta. </t>
  </si>
  <si>
    <t>Se aprobó por INNPULSA el proyecto de fortalecimiento de valor de cuero y se gestionó documentación para su vinculación. En Galvánico se inició la documentación del proyecto con antecedentes y problemática central, y, para minería se gestionó el apoyo desde SRHS para capacitaciones al sector</t>
  </si>
  <si>
    <t>Ajuste final al Plan de Acción Climática para Bogotá 2020-2050 y lanzamiento del Plan a la ciudad. Ejecución de algunas acciones de adaptación para mejorar la calidad ambiental y reducir los efectos del cambio climático.</t>
  </si>
  <si>
    <t>Durante el mes de mayo de 2021, se incorporó y verifico criterios de sostenibilidad ambiental a diecisiete (17) proyectos. Así mismo, se brindo acompañamiento tecnico a 320 m2 de  jardines verticales en la ciudad.</t>
  </si>
  <si>
    <t xml:space="preserve">Se reconocen 7 negocios verdes; 1 (ene), 1 (feb), 1 (mar), 2 (abril) y 2 (mayo), los cuales en promedio lograron el 66% de los criterios evaluados, logrando el cumplimiento de la meta. </t>
  </si>
  <si>
    <t>En curtiembres se realizó la mesa interinstitucional para logística de la jornada de Benchmarking y se hizo inscripción al curso: Manipulación de RESPEL con un total de 34 inscritos del sector galvánico y curtiembres. En minería se realizó logística y convocatoria para capacitación a realizar.</t>
  </si>
  <si>
    <t>Inicio de la definición del esquema de seguimiento al Plan de Acción Climática para Bogotá 2020-2050  y lanzamiento del Plan a la ciudad. Ejecución de algunas acciones de adaptación para mejorar la calidad ambiental y reducir los efectos del cambio climático.</t>
  </si>
  <si>
    <t>Durante el mes de junio de 2021, se incorporó y verifico criterios de sostenibilidad ambiental a diecisiete (17) proyectos. Así mismo, se brindo acompañamiento tecnico a 297 m2 de  jardines verticales en la ciudad.</t>
  </si>
  <si>
    <t xml:space="preserve">Se reconocen 9 negocios verdes; 1 (ene), 1 (feb), 1 (mar), 2 (abril), 2 (mayo), 2 junio los cuales en promedio lograron el 65% de los criterios evaluados, logrando el cumplimiento de la meta. </t>
  </si>
  <si>
    <t>Se realizó el curso Manipulación de RESPEL e inició el de SUPERVISIÓN en RESPEL para los 3 sectores. Se brindó capacitación de desclasificación de RESPEL. Se hizó BENCHMARKING de experiencias nacionales en el sector curtidor y en minería el conversatorio para mejoras en la presentación de PML</t>
  </si>
  <si>
    <t>Avance en el esquema de seguimiento del Plan de Acción Climática para Bogotá 2020-2050. Ejecución de algunas acciones de adaptación para mejorar la calidad ambiental y reducir los efectos del cambio climático.</t>
  </si>
  <si>
    <t>Durante el mes de julio de 2021, se incorporó y verifico criterios de sostenibilidad ambiental a diecisiete (17) proyectos. Así mismo, se brindo acompañamiento tecnico a 293 m2 de  techos verde y jardines verticales en la ciudad.</t>
  </si>
  <si>
    <t>Se reconocen 11 negocios verdes; 1 (ene), 1 (feb), 1 (mar), 2 (abril), 2 (mayo), 2 (junio) y  2 julio, los cuales en promedio lograron el 62,5% de los criterios evaluados, logrando el cumplimiento de la meta.</t>
  </si>
  <si>
    <t xml:space="preserve">Se dio continuidad al curso de supervisión de residuos peligrosos para los tres sectores de galvánico, minería y curtiembres. Así mismo, se dio lanzamiento al programa piloto de proveedores verdes para el sector de recubrimientos electrolíticos </t>
  </si>
  <si>
    <t>Avance en el esquema de seguimiento del Plan de Acción Climática para Bogotá 2020-2050. Realización de algunas acciones de adaptación para mejorar la calidad ambiental y reducir los efectos del cambio climático.</t>
  </si>
  <si>
    <t>Durante el mes de agosto de 2021, se incorporó y verifico criterios de sostenibilidad ambiental a diecisiete (17) proyectos. Así mismo, se brindo acompañamiento tecnico a 311 m2 de  jardines verticales en la ciudad.</t>
  </si>
  <si>
    <t xml:space="preserve">Se reconocen 13 negocios verdes; 1 (ene), 1 (feb), 1 (mar), 2 (abril), 2 (mayo), 2 (junio), 2 j(ulio) y 2 (agosto) los cuales en promedio lograron el 58% de los criterios evaluados, logrando el cumplimiento de la meta. </t>
  </si>
  <si>
    <t>Se realizó programación y socializó las fechas para talleres de economia circular para las curtiembres. Adicionalmente, se realizó la primera jornada de sensibilización sobre el proyecto de la PTAR de San Benito, con el fin de vincular mas empresas al cumplimiento de la sentencia Río Bogotá.</t>
  </si>
  <si>
    <t>Avance en la batería de indicadores para el seguimiento del PAC. Ejecución de acciones de adaptación para mejorar la calidad ambiental y reducir los efectos del cambio climático.</t>
  </si>
  <si>
    <t>Durante el mes de septiembre de 2021, se incorporó y verifico criterios de sostenibilidad ambiental a diecisiete (17) proyectos. Así mismo, se brindo acompañamiento tecnico a 295 m2 de  jardines verticales en la ciudad.</t>
  </si>
  <si>
    <t>Se reconocen 15 negocios verdes -NV-; 1 (ene), 1 (feb), 1 (mar), 2 (abril), 2 (mayo), 2 (junio), 2 j(ulio), 2 (agosto) y 2 (septiembre), los cuales en promedio lograron el 64% de los criterios evaluados logrando el cumplimiento de la meta, adicionalmente, los NV del último mes hacen parte de la categoría de Ecoproductos Industriales.</t>
  </si>
  <si>
    <t>Se realizaron 2 talleres de economía circular y jornadas individuales de acompañamiento a empresas del proyecto de fortalecimiento de la cadena de valor. Se hizo jornada de formulación de proyectos con empresarios a través de la CCB y 2da jornada de sensibilización sobre PTAR de San Benito</t>
  </si>
  <si>
    <t>Avance en la definición del Monitoreo, Evaluación y Reporte del PAC. Ejecución de acciones de adaptación para mejorar la calidad ambiental y reducir los efectos del cambio climático.</t>
  </si>
  <si>
    <t>Durante el mes de octubre de 2021, se incorporó y verifico criterios de sostenibilidad ambiental a diecisiete (17) proyectos. Así mismo, se brindo acompañamiento técnico a 292 m2 de  jardines verticales en la ciudad.</t>
  </si>
  <si>
    <t>Se reconocen 17 negocios verdes -NV-; 1 (ene), 1 (feb), 1 (mar), 2 (abril), 2 (mayo), 2 (junio), 2 j(ulio), 2 (agosto), 2 (septiembre) y 2 (octubre), los cuales en promedio lograron el 57% de los criterios evaluados logrando el cumplimiento de la meta, adicionalmente, los NV del último mes hacen parte de la categoría de Ecoproductos Industriales.</t>
  </si>
  <si>
    <t xml:space="preserve">Se realizó 2 talleres en herramientas de formulación para proyectos de economía circular para curtiembres, en galvánico se gestionó capacitación para el manejo de sustancias químicas y se realizó planeación para el programa de proveedores verdes. Para minería se brindó capacitación en la NTC 6033 </t>
  </si>
  <si>
    <t>Ajuste de acciones para CONPES. Ejecución de acciones de adaptación para mejorar la calidad ambiental y reducir los efectos del cambio climático.</t>
  </si>
  <si>
    <t>Durante el mes de noviembre de 2021, se incorporó y verifico criterios de sostenibilidad ambiental a quince (15) proyectos. Así mismo, se brindo acompañamiento tecnico a 291 m2 de  jardines verticales en la ciudad.</t>
  </si>
  <si>
    <t>Se reconocen 17 negocios verdes -NV-; 1 (ene), 1 (feb), 1 (mar), 2 (abril), 2 (mayo), 2 (junio), 2 j(ulio), 2 (agosto), 2 (septiembre), 2 (octubre) y 2 (noviembre), los cuales en promedio lograron el 60,5% de los criterios evaluados logrando el cumplimiento de la meta, adicionalmente, los NV del último mes hacen parte de la categoría de bienes y servicios sostenibles provenientes de recursos naturales</t>
  </si>
  <si>
    <t xml:space="preserve">Se hizo 3 capacitaciones con enfoque hacia la identificación de iniciativas de economía circular para el sector curtidor y se gestionó asesoría individual con la CCB para formulación del proyecto de ASOPIESB. En galvánico se realizó jornada de benchmarking para tratamientos con tecnología nano </t>
  </si>
  <si>
    <t>Ajuste final de resultados, productos e indicadores del PAC. Ejecución de acciones de adaptación para mejorar la calidad ambiental y reducir los efectos del cambio climático.</t>
  </si>
  <si>
    <t>Durante el mes de diciembre de 2021, se incorporó y verifico criterios de sostenibilidad ambiental a dieciseis (16) proyectos. Así mismo, se brindo acompañamiento tecnico a 298 m2 de  techos verdes en la ciudad.</t>
  </si>
  <si>
    <t>Se reconocen 20 negocios verdes -NV-; 1 (ene), 1 (feb), 1 (mar), 2 (abril), 2 (mayo), 2 (junio), 2 j(ulio), 2 (agosto), 2 (septiembre), 2 (octubre), 2 (noviembre) y 1 (diciembre), el cual hace parte de la categoría de bienes y servicios sostenibles provenientes de recursos naturales</t>
  </si>
  <si>
    <t>Se realizó reunión con la empresa Colmena para los resultados del proyecto; se hizo visita a la empresa INDUSEL con el comité verificador de la sentencia para conocer las prácticas de PML. En minería se trabajó con la CAR la herramienta de autodiagnóstico para el proyecto de “Ladrillos verdes”</t>
  </si>
  <si>
    <t>Consolidación de propuesta de Monitoreo, Evaluación y Reporte del componente de mitigación del PAC. Ejecución de acciones de adaptación para mejorar la calidad ambiental y reducir los efectos del cambio climático.</t>
  </si>
  <si>
    <t>II PRODUCTO (FÍSICO) VIGENCIA 2022</t>
  </si>
  <si>
    <t>% PESO 2022</t>
  </si>
  <si>
    <t>META VIGENCIA  2022</t>
  </si>
  <si>
    <t>AVANCE VIGENCIA 2022</t>
  </si>
  <si>
    <t>% AVANCE VIGENCIA 2022</t>
  </si>
  <si>
    <t>Durante el mes deenero de 2022, se  adelanto las actividades contractuales requeridas para la contratación del equipo técnico y administrativo necesario para la ejecución de la meta; sin embago, se brindo acompañamiento tecnico a 40 m2 de  jardines verticales en la ciudad.</t>
  </si>
  <si>
    <t xml:space="preserve">"Para el presente mes se realizó la validación final de la verificación de los criterios de negocios verdes, realizada a 2 empresas que son: DEKONCIENCIA SAS e
IBON TATIANA ARIZA RIBON (JÜPPA ECO SHOES)
</t>
  </si>
  <si>
    <t>Se llevan a cabo dos talleres presenciales los días 18 y 25 de enero en el marco del proyecto  “Fortalecimiento de la Innovación y los mercados sostenibles del clúster del cuero en el barrio San Benito”, abarcando las temáticas de modelos de negocios sostenibles y metodología CANVAS</t>
  </si>
  <si>
    <t>Ejecución de acciones de adaptación para mejorar la calidad ambiental y reducir los efectos del cambio climático.</t>
  </si>
  <si>
    <t>#DIV/0!</t>
  </si>
  <si>
    <t>Durante el mes de febrero de 2022, se incorporó y verifico criterios de sostenibilidad ambiental a veinticuatro (24) proyectos. Así mismo, se brindo acompañamiento tecnico a 464 m2 de  techos verdes en la ciudad.</t>
  </si>
  <si>
    <t xml:space="preserve">"Para el presente mes se realizó la verificación de los criterios de negocios verdes de otras 2 empresas para acumular 4 en la vigencia: DEKONCIENCIA SAS e IBON TATIANA ARIZA RIBON (JÜPPA ECO SHOES), RECUPERACIÓN DE CARTON CORRUGADO SAS y EMPAQUES Y PROYECTOS SACKPROM SAS. "
</t>
  </si>
  <si>
    <t>Se participó de la Feria Internacional del Cuero, calzado y marroquinería del 8 al 11 de febrero en el marco del proyecto de fortalecimiento de la cadena de valor del cuero</t>
  </si>
  <si>
    <t>Durante el mes de marzo de 2022, se incorporó y verifico criterios de sostenibilidad ambiental a veinticuatro (24) proyectos. Así mismo, se brindo acompañamiento tecnico a 452 m2 de techos verdes y jardines verticales en la ciudad.</t>
  </si>
  <si>
    <t xml:space="preserve">Se reconoce a un (1) negocio verde: Fundación alianza Buitakien, el mes de marzo que obtiene un puntaje del 61% en los criterios evaluados, generando el cumplimiento de la meta. </t>
  </si>
  <si>
    <t>Se realizó jornada con empresas pertenecientes a la cadena de valor del cuero para vincularse al proyecto de San Benito Circular buscando establecer diferentes conexiones comerciales bajo estrategias de sostenibilidad.</t>
  </si>
  <si>
    <t>Ejecución de acciones de adaptación al cambio climático, priorizadas del Plan de Acción Climática para Bogotá 2020-2050, para mejorar la calidad ambiental y reducir los efectos del cambio climático.</t>
  </si>
  <si>
    <t>Durante el mes de abril de 2022, se incorporó y verifico criterios de sostenibilidad ambiental a veinticuatro (24) proyectos. Así mismo, se brindo acompañamiento tecnico a 448 m2 de jardines verticales en la ciudad.</t>
  </si>
  <si>
    <t>En el mes de abril se reconocieron tres negocios verdes: ARTE LUZ-KA., con un puntaje de 51,26%  Radicado 2022ER58365, LIZARD MOTORS SAS, con un puntaje de 57% Rad 2022ER57588 y MAS COMPOST SAS con un puntaje de 65,95% Rad 2022ER54160, dando cumplimiento a la meta.</t>
  </si>
  <si>
    <t>Se realizó taller de estrategias de sostenibilidad para posicionamiento de empresas del sector curtidor frente a clientes y consumidores. Así mismo, se realizó curso de formación en alianza con el SENA en manipulación de residuos peligrosos para el sector curtidor y recubrimientos electrolíticos</t>
  </si>
  <si>
    <t>Durante el mes de mayo de 2022, se incorporó y verifico criterios de sostenibilidad ambiental a veinticuatro (24) proyectos. Así mismo, se brindo acompañamiento tecnico a 457 m2 de jardines verticales en la ciudad.</t>
  </si>
  <si>
    <t>En el mes de mayo se reconocieron dos  negocios verdes: PATASOLATREKK SAS., con un puntaje de 51.18%   y REEMADE SAS BIC, con un puntaje de 66.39% , dando cumplimiento a la meta.</t>
  </si>
  <si>
    <t>Se participó de la apertura de Bogotá Fashion Week, de la celebración del día del río Bogotá y recorrido con socialización en el barrio San Benito para socializar resultados del proyecto San Benito Circular. Así mismo, finalizó la capacitación en manipulación de residuos peligrosos</t>
  </si>
  <si>
    <t>Acciones de adaptación al cambio climático priorizadas del Plan de Acción Climática para Bogotá 2020-2050, ejecutadas en la ciudad para mejorar su calidad ambiental y reducir los efectos del cambio climático.</t>
  </si>
  <si>
    <t>Durante el mes de junio de 2022, se incorporó y verifico criterios de sostenibilidad ambiental a veinticuatro (24) proyectos. Así mismo, se brindo acompañamiento tecnico a 451 m2 de techos verdes y jardines verticales en la ciudad.</t>
  </si>
  <si>
    <t>En el mes de junio se reconocieron dos  negocios verdes: AKORAZADOS SAS., con un puntaje de 51.12%   y TE SIRVE BIORECICLA S.A.S, con un puntaje de 51% , dando cumplimiento a la meta.</t>
  </si>
  <si>
    <t>Se participó de evento con ACOLCUR para presentar resultados del proyecto de fortalecimiento de la cadena de valor del cuero. Así mismo, se realizó capacitación para el buen uso del sistema de alcantarillado y reporte de caracterizaciones</t>
  </si>
  <si>
    <t>Acciones priorizadas de adaptación al cambio climático, ejecutadas en la ciudad para aportar al mejoramiento de la calidad ambiental y reducir los efectos del cambio climático.</t>
  </si>
  <si>
    <t>Durante el mes de julio de 2022, se incorporó y verifico criterios de sostenibilidad ambiental a veinticuatro (24) proyectos. Así mismo, se brindo acompañamiento tecnico a 455 m2 de techos verdes y jardines verticales en la ciudad.</t>
  </si>
  <si>
    <t>En el mes de julio se reconocieron dos  negocios verdes: BICIMAIL SAS., con un puntaje de 63,58%   y LAURA AÑEZ TEXTILES, con un puntaje de 55,65 , dando cumplimiento a la meta.</t>
  </si>
  <si>
    <t>Se participó de la feria de ExpoCircular y Carbono Neutro para socialización de resultados del proyecto de fortalecimiento de la cadena de valor del cuero. Así mismo, se realizó la primera jornada de benchmarking con empresas de recubrimientos electrolíticos para presentar experiencias exitosas.</t>
  </si>
  <si>
    <t>Ejecución de acciones de adaptación al cambio climático en la ciudad, para aportar al mejoramiento de la calidad ambiental y reducir los efectos del cambio climático.</t>
  </si>
  <si>
    <t>Durante el mes de septiembre de 2022, se incorporó y verifico criterios de sostenibilidad ambiental a veinticuatro (24) proyectos. Así mismo, se brindo acompañamiento tecnico a 460 m2 de techos verdes y jardines verticales en la ciudad.</t>
  </si>
  <si>
    <t>De acuerdo a lo establecido en el Plan Nacional de Negocios Verdes se realizó la verificación de un negocio, el cual fue establecido como negocios verdes, por cumplir con los criterios necesarios para ser negocio verde, 2022ER211733 FONDOTUR con un puntaje total de 55.36 %</t>
  </si>
  <si>
    <t>Se participó de la jornada de benchmarking para identificación de buenas prácticas ambientales del sector curtidor así como, capacitación al sector galvánico en Economía Circular.</t>
  </si>
  <si>
    <t>Acciones ejecutadas para la adaptación de la ciudad al cambio climático y para aportar al mejoramiento de la calidad ambiental. Formulación de la Política Pública para la Acción Climática en proceso.</t>
  </si>
  <si>
    <t>Durante el mes de octubre de 2022, se incorporó y verifico criterios de sostenibilidad ambiental a veinticuatro (24) proyectos. Así mismo, se brindo acompañamiento tecnico a 450 m2 de jardines verticales en la ciudad.</t>
  </si>
  <si>
    <t>Se realizó la verificación de un negocio verde, el cual fue establecido como negocios verdes, por cumplir con los criterios necesarios para ser negocio verde A continuación se relaciona:
• 2022ER222284- 2022EE265619 CLARA INTENCION con un puntaje total de 60.24 %</t>
  </si>
  <si>
    <t>Se realizó la feria interinstitucional para el sector curtidor brindando asesoría y acompañamiento técnico a las diferentes industrias en San Benito, así mismo, se continuó con plan de capacitación para el sector galvánico</t>
  </si>
  <si>
    <t>Durante el mes de noviembre de 2022, se incorporó y verifico criterios de sostenibilidad ambiental a veinticuatro (23) proyectos. Así mismo, se brindo acompañamiento tecnico a 450 m2 de jardines verticales y techos verdes en la ciudad.</t>
  </si>
  <si>
    <t>De acuerdo a lo establecido en el Plan Nacional de Negocios Verdes se realizó la verificación de un negocio, el cual fue establecido como negocios verdes, por cumplir con los criterios necesarios para ser negocio verde:
• 2022EE305820 NAPGUANA SAS con un puntaje total de 65.8 %</t>
  </si>
  <si>
    <t>Se realizó conversatorio en innovación y sostenibilidad en los procesos al interior de las curtiembres y el evento de casos exitosos en los procesos de recubrimientos electrolíticos de sustitución de insumos químicos y buenas prácticas ambientales</t>
  </si>
  <si>
    <t>Acciones ejecutadas para la adaptación de la ciudad al cambio climático y para aportar al mejoramiento de la calidad ambiental. Política Pública para la Acción Climática en proceso de formulación.</t>
  </si>
  <si>
    <t>Durante el mes de Diciembre de 2022, se incorporó y verifico criterios de sostenibilidad ambiental a veinte (20) proyectos. Así mismo, se brindo acompañamiento tecnico a 460 m2 de jardines verticales en la ciudad.</t>
  </si>
  <si>
    <t>De acuerdo a lo establecido en el Plan Nacional de Negocios Verdes se realizó la verificación de un negocio, el cual cumplió con los criterios necesarios para ser negocio verde: 2022EE327629 ZHANASOLUTIONS GREEN ENGINEERING SAS con un puntaje total de 68,44%, en un nivel Satisfactorio</t>
  </si>
  <si>
    <t>Se realizó divulgación de la guía de tratamiento de aguas residuales para el sector curtidor. Así mismo, en mesa de sectores productivos se socializó las acciones realizadas para los tres sectores productivos (minería, galvánico y curtiembres)</t>
  </si>
  <si>
    <t>II PRODUCTO (FÍSICO) VIGENCIA 2023</t>
  </si>
  <si>
    <t>% PESO 2023</t>
  </si>
  <si>
    <t>META VIGENCIA  2023</t>
  </si>
  <si>
    <t>AVANCE VIGENCIA 2023</t>
  </si>
  <si>
    <t>% AVANCE VIGENCIA 2023</t>
  </si>
  <si>
    <t xml:space="preserve">Durante el mes de enero de 2023, se incorporó y verifico criterios de sostenibilidad ambiental a cinco (5) proyectos. </t>
  </si>
  <si>
    <t>En el mes de enero no se presentó avance en el número de negocios verdes consolidados, dado que se está adelantando el proceso de contratación del equipo de Negocios Verdes</t>
  </si>
  <si>
    <t>Durante el periodo de enero no fueron programadas actividades de divulgación</t>
  </si>
  <si>
    <t>Acciones para la adaptación de la ciudad al cambio climático y para aportar al mejoramiento de la calidad ambiental.</t>
  </si>
  <si>
    <t>Durante el mes de febrero de 2023, se incorporó y verifico criterios de sostenibilidad ambiental a treinta (30) proyectos. Así mismo, se brindo acompañamiento tecnico a 600 m2 de  techos verdes en la ciudad.</t>
  </si>
  <si>
    <t>En el mes de febrero de 2023 fueron verificados y aprobados 2 empresas R3CO ROPA RESPONSABLE y COMPAÑIA SERIVICIOS LOGISTICOS.</t>
  </si>
  <si>
    <t>Para el sector curtidor se realizó la reunión de articulación con la CCB; para galvánico se realizó reunión de las actividades del proyecto con empresas vinculadas y de química verde y para el sector minero se adelantó una reunión con las ladrilleras vinculadas al proyecto de ladrillo verde.</t>
  </si>
  <si>
    <t>Acciones para la adaptación de la ciudad al cambio climático y para aportar al mejoramiento de la calidad ambiental.
Política Pública para la Acción Climática en proceso de formulación.</t>
  </si>
  <si>
    <t>Durante el mes de marzo de 2023, se incorporó y verifico criterios de sostenibilidad ambiental a treinta y un (31) proyectos. Así mismo, se brindo acompañamiento tecnico a 650 m2 de  techos verdes en la ciudad.</t>
  </si>
  <si>
    <t xml:space="preserve">En el mes de marzo de 2023 se realizó la verificación de cuatro negocios,:
• 2023EE59976 KULTY COLOMBIA SAS.
• 2023EE60643 AQSTICA SAS. 
• 2023EE63249 ECO-TRICILOS SAS 
• 2023EE65400 JENNY CATALINA CASTRO BARON. </t>
  </si>
  <si>
    <t>Para el sector curtidor se realizó la Mesa distrital de Curtiembres; para el sector galvánico se realizaron la mesa distrital de Producción Más Limpia, la apertura de PREAD y 2 socializaciones a empresas y para el sector minero se adelantó la reunión con las ladrilleras vinculadas a "ladrillo verde"</t>
  </si>
  <si>
    <t>Acciones para que la ciudad se adapte al cambio climático.
Política Pública para la Acción Climática en proceso de formulació</t>
  </si>
  <si>
    <t>Durante el mes de abril de 2023, se incorporó y verifico criterios de sostenibilidad ambiental a treinta  (30) proyectos. Así mismo, se brindo acompañamiento tecnico a 600 m2 de  techos verdes en la ciuda</t>
  </si>
  <si>
    <t xml:space="preserve">4 fueron verificados y aprobados en el mes de abril del año 2023 y corresponde a los siguientes negocios:
NANOMAC DC SAS BIC, MOLIPLASTICOS LYF SAS., URBAN CAR BAG SAS y SADORA MARTIN </t>
  </si>
  <si>
    <t>Para el sector curtidor se realizó la mesa distrital de curtiembres y visitas técnicas a empresas vinculadas al proyecto San Benito Circular II; para el sector metalurgia se adelantó la mesa distrital de Producción Más Limpia y reuniones de acompañamiento individual; y para el sector minero se adelantó la visita de campo a las ladrilleras vinculadas al proyecto de ladrillos verdes</t>
  </si>
  <si>
    <t>Acciones para aportar a la adaptación y resiliencia de la ciudad ante el cambio climático.
Política Pública para la Acción Climática en proceso de formulación.</t>
  </si>
  <si>
    <t>Durante el mes de mayo de 2023, se incorporó y verifico criterios de sostenibilidad ambiental a treinta y un  (31) proyectos. Así mismo, se brindo acompañamiento tecnico a 600 m2 de  techos verdes en la ciuda</t>
  </si>
  <si>
    <t>4 negocios verdes fueron verificados y aprobados en el mes de mayo  del año 2023:
ASOCIACIÓN DE RECICLADORES WAY OF HOPE puntaje: 51.36%
CAMALEON BAG SAS puntaje: 60.03%
CATALINA MOSSOS CASTRO puntaje:67.27%
TRENDIER COLOMBIA SAS puntaje: 72.60%</t>
  </si>
  <si>
    <t xml:space="preserve">Para el sector curtidor se realizó la mesa distrital de curtiembres y visitas técnicas; para el sector metalurgia la mesa distrital de Producción Más Limpia, la jornada de benchmarking y visitas a las empresas; y para el sector minero socialización del proyecto a dos ladrilleras nueva para vincularlas al proyecto de ladrillos verdes.
</t>
  </si>
  <si>
    <t>Acciones para aportar a la adaptación y resiliencia de la ciudad ante el cambio climático.
Avances en la formulación de la Política Pública para la Acción Climática Bogotá 2050.</t>
  </si>
  <si>
    <t>Durante el mes de junio de 2023, se incorporó y verifico criterios de sostenibilidad ambiental a treinta y un  (31) proyectos. Así mismo, se brindo acompañamiento tecnico a 615 m2 de  techos verde y jardines verticales en la ciudad</t>
  </si>
  <si>
    <t>3 negocios verdes fueron verificados y aprobados en el mes de junio  del año 2023:
AGROCOLOMBIAEXPORT SAS, puntaje: 60,15% 
AV AGUA Y VIDA SAS, puntaje: 58,82%
ARTP INVERSIONES SAS , puntaje: 78,59%</t>
  </si>
  <si>
    <t xml:space="preserve">Para el sector curtidor se realizó la mesa distrital de curtiembres y visitas técnicas; para el sector metalurgia se adelantó la mesa distrital de Producción Más Limpia y visitas a las empresas; y para el sector minero se realizó la mesa distrital de minería y mesas de trabajo con las ladrilleras
</t>
  </si>
  <si>
    <t>Acciones para aportar a la adaptación y resiliencia de la ciudad ante el cambio climático.</t>
  </si>
  <si>
    <t>Durante el mes de julio de 2023, se incorporó y verifico criterios de sostenibilidad ambiental a treinta y un  (31) proyectos. Así mismo, se brindo acompañamiento tecnico a 575 m2 de  techos verde y jardines verticales en la ciudad</t>
  </si>
  <si>
    <t>3 negocios verdes fueron verificados y aprobados en el mes de julio  del año 2023:
 Radicado 2023ER137859 BOLSA VIDA Informe 2023EE166367 Puntaje 63.31
 Radicado 2023ER135307 NEOTROPICO COLOMBIA S.A.S SANTO REMEDIO 2023EE154361 Puntaje 65.80
 Radicado 2023ER145159 COLIBRI HONEY BEE Puntaje 76.81</t>
  </si>
  <si>
    <t>Para el sector curtidor se realizaron visitas técnicas de seguimiento; para el sector metalurgia la mesa distrital de Producción Más Limpia y visitas a las empresas; y para el sector minero mesa distrital de minería y dos mesas de trabajo con las ladrilleras vinculadas al proyecto.</t>
  </si>
  <si>
    <t>Ejecución de acciones para aportar a la adaptación al cambio climático, al mejoramiento de la calidad ambiental y reducir los efectos del cambio climático. Avance en la formulación de la Política Pública de Acción Climática.</t>
  </si>
  <si>
    <t>Durante el mes de agosto de 2023, se incorporó y verifico criterios de sostenibilidad ambiental a treinta y un  (31) proyectos. Así mismo, se brindo acompañamiento tecnico a 671 m2 de  techos verde en la ciudad</t>
  </si>
  <si>
    <t>Negocios Verdes Verificados: 
Vegan Mix, Puntaje 80.60.
D`Classe, Puntaje 61.71
NUEVAS TECNOLOGÍAS FISICOQUÍMICAS S.A.S. B.I.C.  Puntaje 65.92.</t>
  </si>
  <si>
    <t>Para el sector curtidor se realizó una visita técnica para la guía de tratamiento; para el sector metalurgia la mesa distrital de Producción Más Limpia y seguimiento a las empresas; y para el sector minero mesa distrital de minería y dos mesas de trabajo con las ladrilleras vinculadas al proyecto.</t>
  </si>
  <si>
    <t>Ejecución de acciones para aportar a la adaptación al cambio climático, al mejoramiento de la calidad ambiental y reducir los efectos del cambio climático. Ajustes finales a la Política Pública de Acción Climática.</t>
  </si>
  <si>
    <t>Durante el mes de septiembre de 2023, se incorporó y verifico criterios de sostenibilidad ambiental a treinta y un  (31) proyectos. Así mismo, se brindo acompañamiento tecnico a 585 m2 de  techos verde en la ciudad</t>
  </si>
  <si>
    <t>Negocios Verdes Verificados: 
JOYAS DE ARTE SOSTENIBLE-2023EE218269 Puntaje 57.14
ESENCIA SOSTENIBLE -2023EE223756 Puntaje 51.76
KOJI ES TRANSFORMACION S.A.S-2023EE223759 Puntaje. 73.55</t>
  </si>
  <si>
    <t>Para el sector curtidor se realizaron sesiones de seguimiento a los proyectos y taller de herramientas de apropiación; para el sector metalurgia la mesa distrital de Producción Más Limpia; y para el sector minero mesa distrital de minería y dos mesas de trabajo con las ladrilleras vinculadas.</t>
  </si>
  <si>
    <t xml:space="preserve">Política Pública Acción Climática aprobada y ejecución de acciones para aportar a la adaptación al cambio climático, al mejoramiento de la calidad ambiental y reducir los efectos del cambio climático. </t>
  </si>
  <si>
    <t>Durante el mes de octubre de 2023, se incorporó y verifico criterios de sostenibilidad ambiental a treinta y un  (31) proyectos. Así mismo, se brindo acompañamiento tecnico a 611 m2 de  techos verde en la ciudad</t>
  </si>
  <si>
    <t>En octubre se verificaron tres negocios verdes, por cumplir con los criterios necesarios:
•CALIPSO CONSULTORIA SAS BIC-2023EE252095 Puntaje 76.88%
• GOLDENSEC -2023EE252645 Puntaje 68.98%
• ORGANIC MODE SAS-2023EE252678 Puntaje. 59.30%</t>
  </si>
  <si>
    <t>Para el sector curtidor se realizó seguimiento a los proyectos formulados ; para el sector metalurgia la mesa distrital de Producción Más Limpia y las sesiones de retroalimentación a los proyectos individuales ; y para el sector minero mesa distrital y 2 mesas de trabajo con las ladrilleras.</t>
  </si>
  <si>
    <t xml:space="preserve">Ejecución de acciones para aportar a la adaptación al cambio climático, al mejoramiento de la calidad ambiental y reducir los efectos del cambio climático. </t>
  </si>
  <si>
    <t>Durante el mes de noviembre de 2023, se incorporó y verifico criterios de sostenibilidad ambiental a veinte  (20) proyectos. Así mismo, se brindo acompañamiento tecnico a 223 m2 de  techos verde en la ciudad</t>
  </si>
  <si>
    <t>En noviembre se verificaron tres negocios verdes, por cumplir con los criterios necesarios:
AKASHA DESIGN LAB S.A.S - 2023EE278883 Puntaje 64.87%
NATALIA SERNA BUENO – 2023EE278846 Puntaje 64.51%
DESTINOS TOUR COLOMBIA SAS BIC- 2023EE278885 Puntaje. 57.47%</t>
  </si>
  <si>
    <t>En el sector curtidor se realizó seguimiento a los proyectos formulados ; para el sector metalurgia evento de cierre del proyecto y las sesiones de socialización de puntajes; y para el sector minero mesa distrital, 2 mesas de trabajo con las ladrilleras y la CAR.</t>
  </si>
  <si>
    <t>Ejecución de acciones para aportar a la adaptación al cambio climático, al mejoramiento de la calidad ambiental y reducir los efectos del cambio climático.</t>
  </si>
  <si>
    <t>Durante el mes de diciembre de 2023, se incorporó y verifico criterios de sostenibilidad ambiental a veinte  (20) proyectos. Así mismo, se brindo acompañamiento tecnico a 192 m2 de  jardines verticales en la ciudad</t>
  </si>
  <si>
    <t>En diciembre se verificaron dos negocios verdes, por cumplir con los criterios necesarios:
• AMARALIA BM S.A.S 2023EE302091 Puntaje 54.89%
•CONSENTIDOS POR LA NATURALEZA S.A.S– 2023EE302085 Puntaje 74.93%</t>
  </si>
  <si>
    <t>Para el sector curtidor se socializó la guía de compras sostenibles;para el sector metalurgia se participó en la mesa de PML del sector; y para el sector minero mesa distrital, 1 mesa de trabajo con la CAR y una reunión con una empresa ladrillera con Sello Ambiental Colombiano</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</si>
  <si>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</si>
  <si>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</si>
  <si>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</si>
  <si>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</si>
  <si>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</si>
  <si>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</si>
  <si>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</si>
  <si>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</si>
  <si>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</si>
  <si>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</si>
  <si>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 xml:space="preserve"> Asistir a 800 proyectos participantes de programas voluntarios ofrecidos por la SEGAE, para el mejoramiento del desempeño ambiental.</t>
  </si>
  <si>
    <t xml:space="preserve">Acompañar y promover a 100 empresas en el proceso de verificación de los criterios de Negocios verdes.
</t>
  </si>
  <si>
    <t>Desarrollar 9 proyectos de producción más limpia en los sectores priorizados.</t>
  </si>
  <si>
    <t>III ACTIVIDADES SUIFT (PRESUPUESTO) VIGENCIA 2021</t>
  </si>
  <si>
    <t>PRESUPUESTO VIGENCIA SUIFP 2021</t>
  </si>
  <si>
    <t>PRESUPUESTO
OBLIGADO (GIRADO) 2021</t>
  </si>
  <si>
    <t>III ACTIVIDADES SUIFT (PRESUPUESTO) VIGENCIA 2022</t>
  </si>
  <si>
    <t>PRESUPUESTO VIGENCIA SUIFP 2022</t>
  </si>
  <si>
    <t>PRESUPUESTO
OBLIGADO (GIRADO) 2022</t>
  </si>
  <si>
    <t>III ACTIVIDADES SUIFT (PRESUPUESTO) VIGENCIA 2023</t>
  </si>
  <si>
    <t>PRESUPUESTO VIGENCIA SUIFP 2023</t>
  </si>
  <si>
    <t>PRESUPUESTO
OBLIGADO (GIRADO) 2023</t>
  </si>
  <si>
    <t>IV GESTIÓN  (FÍSICO) VIGENCIA 2020</t>
  </si>
  <si>
    <t>DESCRIPCIÓN DEL INDICADORES DE GESTIÓN</t>
  </si>
  <si>
    <t>META VIGENCIA 2020</t>
  </si>
  <si>
    <t>AVANCE META VIGENCIA 2020</t>
  </si>
  <si>
    <t>% AVANCE META VIGENCIA 2020</t>
  </si>
  <si>
    <t>0900G149-conceptos técnicos emitidos frente a requerimientos de otras instituciones</t>
  </si>
  <si>
    <t>Durante el mes de diciembre de 2020, se incorporó criterios de sostenibilidad ambiental a 11 proyectos, tanto en espacio público como en privado. Así mismo, se realizó la verificación a la incorporación de determinantes ambientales a 8 proyectos de infraestructura en el espacio público</t>
  </si>
  <si>
    <t>0900G107-Hectareas monitoreadas</t>
  </si>
  <si>
    <t>Ha</t>
  </si>
  <si>
    <t>Durante el mes de diciembre de 2020 se ha realizado el acompañamiento técnico a 290 m2 correspondientes a jardines verticales, en proyectos existentes en espacio público y privado de las localidades de San Cristobal, Chapinero, Engativá y Puente Aranda  de la Ciudad de Bogotá.</t>
  </si>
  <si>
    <t>0900G113-Planes De Acción O Gestión Con Seguimiento.</t>
  </si>
  <si>
    <t>En 2020 acorde a lo planeado se lleva un acumulado de 0,1. En diciembre, se envió a revisión para observaciones capítulos 1,2 y 3 del documento preliminar de la EDCV. Mapeo entidades de financiamiento a proyectos verdes. Se continuó articulación de agendas con la academia y con SDDE a quien se invitó a participar del curso Ecodiseño en la economía Circular.</t>
  </si>
  <si>
    <t>0900G024- Seguimiento A La Formulación Del Proyecto De Procesos De Tecnologías Limpias</t>
  </si>
  <si>
    <t>Se realiza seguimiento a la formulación de los proyectos de producción más limpia, encontrando que la formulación del primer proyecto a desarrollar esta enfocado a las curtiembres de San Benito y se realizó la definición de objetivos completando su fase de formulacion. De otra parte se formulo un proyecto presentado en diciembre a la convocatoria de Innovacluster. Así mismo, se dará continuidad al inventario de curtiembres.</t>
  </si>
  <si>
    <t>0900G112- Planes De Acción O Gestión Formulados.</t>
  </si>
  <si>
    <t>Culminó la formulación de la primera versión del Plan de Acción Climática. 
Ejecución de algunas acciones de adaptación priorizadas: proyectos de adaptación al cambio climático; Gestión del riesgo por incendio forestal; Respuesta a emergencias; Implementación de instrumentos (PIGA y PACA); Seguimiento para recuperar y manejar suelos de protección por riesgo no mitigable.</t>
  </si>
  <si>
    <t>IV GESTIÓN  (FÍSICO) VIGENCIA 2021</t>
  </si>
  <si>
    <t>META VIGENCIA 2021</t>
  </si>
  <si>
    <t>AVANCE META VIGENCIA 2021</t>
  </si>
  <si>
    <t>% AVANCE META VIGENCIA 2021</t>
  </si>
  <si>
    <t>Durante el mes de febrero de 2021, se incorporó criterios de sostenibilidad ambiental a ocho (8) proyectos de diferentes escalas, tanto en espacio público como en privado, promoviendo la construcción sostenible y el ecourbanismo en la ciudad. Los proyectos a los cuales se les incorporo criterios de sostenibilidad corresponden a: Un (01) Plan Parcial de Desarrollo, un (01) Plan Parcial de Renovación Urbana y seis (06) Diseños paisajísticos de parques y zonas verdes.
Así mismo, se realizó la verificación a la incorporación de determinantes ambientales a seis (6) proyectos de infraestructura en el espacio público, correspondientes a Planes Directores para Parques.</t>
  </si>
  <si>
    <t>Durante el mes defebrero de 2021 se ha realizado el acompañamiento técnico a 301 m2 correspondientes a jardines verticales, en proyectos existentes en espacio público y  privado de las localidades de Chapinero y Santa Fé.</t>
  </si>
  <si>
    <t>Con avance 2020, se consolidó árbol de problemas de la Estrategia Distrital de Crecimiento Verde (EDCV) según metodología CONPES, se desarrolló agenda de articulación con Secretaría de Desarrollo Económico y Cámara de Comercio de Bogotá. Se aplicaron encuestas de la EDCV a empresas del Programa GAE.</t>
  </si>
  <si>
    <t>Se realizó seguimiento a la formulación de los proyectos de producción más limpia, encontrando que para el sector curtiembres se encuentra avance al informar al sector de curtiembres a través de ASOPIESB sobre las mejoras requeriddas respecto a su propuesta de PTAR  para San Benito, de acuerdo a lo conceptuado por la EAAB . De otra parte se evidenció el inicio de la agenda para definir los lineamientos para las actividades posmineria presentes en Bogotá y para el sector de galvanoplastia se inicio la implementación de visitas y jornadas de trabajo virtuales para avanzar en la formulación del proyecto.</t>
  </si>
  <si>
    <t>Ejecución de acciones de adaptación priorizadas del Plan de Acción Climática para Bogotá 2020-2050: Gestión del riesgo por incendio forestal; Respuesta a emergencias; Implementación de instrumentos (PIGA y PACA); Seguimiento para recuperar y manejar suelos de protección por riesgo no mitigable.</t>
  </si>
  <si>
    <t>Durante el mes de Marzo de 2021, se incorporó criterios de sostenibilidad ambiental a diez (10) proyectos de diferentes escalas, tanto en espacio público como en privado, promoviendo la construcción sostenible y el ecourbanismo en la ciudad. Los proyectos a los cuales se les incorporo criterios de sostenibilidad corresponden a: Un (01) Plan Parcial de Desarrollo, un (01) Plan Parcial de Renovación Urbana, un (01) Plan de Implantación y siete (07) Diseños paisajísticos de parques y zonas verdes. 
Así mismo, se realizó la verificación a la incorporación de determinantes ambientales a siete (7) proyectos de infraestructura en el espacio público, correspondientes a Diseños paisajisticos de parques y zonas verdes.</t>
  </si>
  <si>
    <t>Durante el mes de MARZO de 2021 se ha realizado el acompañamiento técnico a 296 m2 correspondientes a jardines verticales, en proyectos existentes en espacio público y  privado de las localidades de Martires y Puente Aranda.</t>
  </si>
  <si>
    <t xml:space="preserve">Se envió la versión 3 del árbol de problemas de la Estrategia Distrital de Crecimiento Verde al área de políticas de la Secretaria de Desarrollo Económico para sus comentarios y acuerdos, se detalló puntos focales de agenda con Cámara de Comercio de Bogotá. Se aplicó encuesta a empresas ACERCAR. </t>
  </si>
  <si>
    <t>Se realizó seguimiento al proyecto de fortalecimiento de la cadena de valor del cuero y se realizó planeación de capacitaciones para las curtiembres. Para galvanoplastia se recibio inscripción de 11 empresas y se aplico encuesta para priorizar lineas de intervención en PML. Para mineria se definieron lineas gruesas de intervención para el 2021.</t>
  </si>
  <si>
    <t>Ajustes al Plan de Acción Climática para Bogotá 2020-2050 y ejecución de algunas: Gestión del riesgo por incendio forestal; Respuesta a emergencias; Instrumentos (PIGA y PACA); Seguimiento para recuperar y manejar suelos de protección por riesgo no mitigable.</t>
  </si>
  <si>
    <t>Se incorporó criterios de sostenibilidad ambiental a 10 proyectos de diferentes escalas, tanto en espacio público como en privado.
Así mismo, se realizó la verificación a la incorporación de determinantes ambientales a 7 proyectos de infraestructura en el espacio público.</t>
  </si>
  <si>
    <t>Durante el mes de Abril de 2021 se ha realizado el acompañamiento técnico a 300 m2 correspondientes a jardines verticales, en un proyecto existente en espacio  privado pero abierto al publico de la localidad de Engativá.</t>
  </si>
  <si>
    <t>Se avanzó en el documento con la reestructuración del índice y en la consolidación para infografía del capítulo de antecedentes. Se orientó al equipo de líderes de los diferentes componentes de la estrategia para la elaboración del documento técnico. Se continuó con articulación interinstitucional.</t>
  </si>
  <si>
    <t>Ajuste final del Plan de Acción Climática para Bogotá 2020-2050 y lanzamiento. Ejecución de acciones de adaptación: Gestión del riesgo por incendio forestal; Respuesta a emergencias; Instrumentos (PIGA y PACA); Seguimiento para recuperar y manejar suelos de protección por riesgo no mitigable.</t>
  </si>
  <si>
    <t>Se incorporó criterios de sostenibilidad ambiental a 10 proyectos de de parques y zonas verdes en espacio público .
Así mismo, se realizó la verificación a la incorporación de determinantes ambientales a 7 proyectos de infraestructura en el espacio público.</t>
  </si>
  <si>
    <t>Durante el mes de mayo de 2021 se ha realizado el acompañamiento técnico a 320 m2 correspondientes a jardines verticales, en un proyecto existente en espacio  privado de la localidad de Chapinero.</t>
  </si>
  <si>
    <t>Participación en el plan de acción de la Política de desarrollo Económico articulando la Estrategia Distrital de Crecimiento Verde. Árbol de objetivos en versión final. Desarrollo de documentos técnicos que soportan los componentes de la estrategia. Avance en indicadores de medición.</t>
  </si>
  <si>
    <t xml:space="preserve">Se gestionó en el marco de la convocatoria de INNPULSA la documentación para la contratación del profesional por parte de la SDA para el proyecto de fortalecimiento de valor del cuero . En galvánico, se continuó la documentación del proyecto con formulación de alternativas.  </t>
  </si>
  <si>
    <t>Inicio del esquema para la definición del seguimiento al PACB 2020-2050. Ejecución de acciones de adaptación: Gestión del riesgo por incendio forestal; Respuesta a emergencias; Instrumentos PIGA y PACA; Seguimiento para recuperar y manejar suelos de protección por riesgo no mitigable.</t>
  </si>
  <si>
    <t>Se incorporó criterios de sostenibilidad ambiental a 10 proyectos de parques y zonas verdes en espacio público .
Así mismo, se realizó la verificación a la incorporación de determinantes ambientales a 7 proyectos de infraestructura en el espacio público.</t>
  </si>
  <si>
    <t>Durante el mes de junio de 2021 se ha realizado el acompañamiento técnico a 297 m2 correspondientes a jardines verticales, en un proyecto existente en espacio  privado de la localidad de Chapinero.</t>
  </si>
  <si>
    <t>Se avanzó en el desarrollo del documento, consolidación de capítulo 3 y capitulo 4, en este último se establecen de manera preliminar acciones de ciudad e instrumentales que implementan la estrategia. Se aplicó encuesta a ciudadanía y se continua articulación interinstitucional.</t>
  </si>
  <si>
    <t>Se realizó apertura con empresas del proyecto de fortalecimiento de valor del cuero, el cual está en proceso de formalización para la adjudicación de recursos. En galvánico se definió objetivos, metas e indicadores. En minería se gestionó articulación con el MinMinas para priorización de acciones.</t>
  </si>
  <si>
    <t>Avance en el esquema de seguimiento del PACB 2020-2050. Ejecución de acciones de adaptación: Gestión del riesgo por incendio forestal; Respuesta a emergencias; Instrumentos PIGA y PACA; Seguimiento para recuperar y manejar suelos de protección por riesgo no mitigable.</t>
  </si>
  <si>
    <t>Se incorporó criterios de sostenibilidad ambiental a 10 proyectos.
Así mismo, se realizó la verificación a la incorporación de determinantes ambientales a 7 proyectos de infraestructura en el espacio público.</t>
  </si>
  <si>
    <t>Durante el mes de julio de 2021 se ha realizado el acompañamiento técnico a 293 m2 correspondientes a jardines verticales y techos verdes, en siete proyecto existente en espacio público y privado de las localidades de Chapinero, Puente Aranda, San Cristóbal, Santa Fé, Suba y Teusaquillo.</t>
  </si>
  <si>
    <t>En julio, fue enviado para revisión y aprobación el documento técnico de la EDCV, este producto fue el resultado de la articulación y desarrollo técnico. Se elaboró y entrego para diseño el documento aprobado de resumen de la EDCV. Se continuó articulación de actores externos.</t>
  </si>
  <si>
    <t>Se firmó el acta de inicio para el proyecto de fortalecimiento de valor del cuero, se planeó el proyecto con la Embajada de Holanda con selección de empresas, estado del arte y propuesta de intervención. Para galvánico se continuo con mesas de trabajo para identificación de acciones con el secto</t>
  </si>
  <si>
    <t>Avance en el esquema de seguimiento del Plan de Acción Climática (PAC) 2020-2050. Realización de acciones de adaptación: Gestión del riesgo por incendio forestal; Respuesta a emergencias; Instrumentos PIGA y PACA; Seguimiento para recuperar y manejar suelos de protección por riesgo no mitigable.</t>
  </si>
  <si>
    <t>Durante el mes de agosto de 2021 se ha realizado el acompañamiento técnico a 311 m2 correspondientes a jardines verticales, en un proyecto existente en espacio público de la localidad de Santa Fé.</t>
  </si>
  <si>
    <t>En agosto, se consolidaron los comentarios para fortalecer el documento técnico de la EDCV, fue logrado el documento resumen de la estrategia por el diseñador, se gestionaron y entregaron insumos para preparar el evento de lanzamiento.</t>
  </si>
  <si>
    <t>Se inició el proyecto con la Embajada de Holanda para la asistencia técnica en tratamiento de aguas residuales, con la contratación del experto técnico, una reunión de inicio y la elaboración de un informe con el estado de las curtiembres de San Benito, como insumo. El proyecto del sector galvanico, inicio visitas de autodiagnóstico para validar el inventario de empresas, antes de continuar su implementación.</t>
  </si>
  <si>
    <t>Avance en la batería de indicadores del esquema de seguimiento del PAC. Realización de acciones de adaptación: Gestión del riesgo por incendio forestal; Respuesta a emergencias; Instrumentos PIGA y PACA; Seguimiento para recuperar y manejar suelos de protección por riesgo no mitigable.</t>
  </si>
  <si>
    <t>Durante el mes de septiembre de 2021 se ha realizado el acompañamiento técnico a 295 m2 correspondientes a jardines verticales, en un proyecto existente en espacio público de la localidad de Santa Fé.</t>
  </si>
  <si>
    <t xml:space="preserve">En septiembre, se realizó revisión de estilo al documento técnico de la EDCV, se realizaron ajustes y se obtuvo final del resumen. Se consolidaron temas de articulación a trabajar en el marco del memorando de entendimiento con SDDE y CCB. </t>
  </si>
  <si>
    <t>Se inició la fase de identificación y evaluación de soluciones técnicas con la Embajada de Holanda realizando una primera reunión de acercamiento eInició fase de evaluación de soluciones técnicas con la Embajada de Holanda, por lo cual se hizo reunión de acercamiento con ASOPIESB. En galvánico continuó las visitas para inventario y en minería se revisó requisitos para la certificación en el Sello Ambiental Colombiano de ladrillos y arcillas ntre la Embajada y ASOPIESB</t>
  </si>
  <si>
    <t>Revisión de indicadores del Monitoreo, Evaluación y Reporte del PAC. Realización de acciones de adaptación: Gestión del riesgo por incendio forestal; Respuesta a emergencias; Instrumentos PIGA y PACA; Seguimiento para recuperar y manejar suelos de protección por riesgo no mitigable.</t>
  </si>
  <si>
    <t>Durante el mes de octubre de 2021 se ha realizado el acompañamiento técnico a 292 m2 correspondientes a jardines verticales, en un proyecto existente en espacio público de la localidad de Santa Fé.</t>
  </si>
  <si>
    <t>En octubre, se obtuvo diseño del documento técnico de la EDCV en versión inicial. Se realizó articulación que direccionó la caracterización de los indicadores de resultado y de publicación en el Observatorio Ambiental de Bogotá. Se modeló el plan de seguimiento de las acciones de la estrategia.</t>
  </si>
  <si>
    <t xml:space="preserve">Continuó el proyecto con la Embajada de Holanda para lo cual la Embajada realizó visitas y se preparó la logística para capacitaciones a realizar. En galvánico se realizó acompañamiento para proyectos individuales de las empresas y se presentó el proyecto de sello verde para empresas ladrilleras </t>
  </si>
  <si>
    <t>Ajuste de acciones para CONPES. Realización de acciones de adaptación: Gestión del riesgo por incendio forestal; Respuesta a emergencias; Instrumentos PIGA y PACA; Seguimiento para recuperar y manejar suelos de protección por riesgo no mitigable.</t>
  </si>
  <si>
    <t>Se incorporó criterios de sostenibilidad ambiental a 10 proyectos.
Así mismo, se realizó la verificación a la incorporación de determinantes ambientales a 5 proyectos de infraestructura en el espacio público.</t>
  </si>
  <si>
    <t>Durante el mes de noviembre de 2021 se ha realizado el acompañamiento técnico a 291 m2 correspondientes a jardines verticales, en un proyecto existente en espacio público de las localidades de Santa Fé, teusaquillo, san cristobal, kennedy, engativa, chapinero y candelaria.</t>
  </si>
  <si>
    <t>En noviembre, se realizaron mesas de trabajo con el equipo técnico para estructurar el plan de acción de la estrategia para el 2022 y se envió a comentarios. Se revisó la aplicación de la formulación de los indicadores, realizando ajustes a los iniciales. Se continuó con articulación de actores.</t>
  </si>
  <si>
    <t>Se realizó 2 talleres con la Embajada de Holanda para presentar tecnologías sostenibles para la industria del cuero con expertos . En galvánico se hizo lanzamiento del programa proveedores verdes y se finalizaron visitas y minería se realizó versión preliminar de la lista de chequeo de la NTC 6033</t>
  </si>
  <si>
    <t>Revisión y ajuste final de resultados, productos e indicadores del PAC. Realización de acciones de adaptación: Gestión del riesgo por incendio forestal; Respuesta a emergencias; Instrumentos PIGA y PACA; Seguimiento para recuperar y manejar suelos de protección por riesgo no mitigable.</t>
  </si>
  <si>
    <t>Se incorporó criterios de sostenibilidad ambiental a 10 proyectos.
Así mismo, se realizó la verificación a la incorporación de determinantes ambientales a 6 proyectos de infraestructura en el espacio público.</t>
  </si>
  <si>
    <t>Durante el mes de diciembre de 2021 se ha realizado el acompañamiento técnico a 298 m2 correspondientes a techos verdes, en un proyecto existente en espacio público de las localidades de Santa Fé, teusaquillo, san cristobal, kennedy, engativa, chapinero y candelaria.</t>
  </si>
  <si>
    <t>En diciembre, se realizó el lanzamiento de la EDCV en el marco de la XXI ceremonia del PREAD. Se obtuvo el diseño definitivo del documento técnico de la estrategia. Se pactó plan de trabajo con el OAB para realizar el montaje de información e indicadores. Se continuó con articulación de actores.</t>
  </si>
  <si>
    <t xml:space="preserve">Se finalizó proyecto con la Embajada de Holanda, se realizó la presentación de proyectos individuales formulados en el proyecto de la cadena de valor del cuero. En galvánico se hizo apertura para el proyecto de fortalecimiento de la cadena del sector de recubrimientos con las empresas inscritas </t>
  </si>
  <si>
    <t>Consolidación de propuesta de Monitoreo, Evaluación y Reporte del componente de mitigación del PAC. Acciones de adaptación: Gestión del riesgo por incendio forestal; Respuesta a emergencias; Instrumentos PIGA y PACA; Seguimiento para recuperar y manejar suelos de protección por riesgo no mitigable.</t>
  </si>
  <si>
    <t>IV GESTIÓN  (FÍSICO) VIGENCIA 2022</t>
  </si>
  <si>
    <t>META VIGENCIA 2022</t>
  </si>
  <si>
    <t>AVANCE META VIGENCIA 2022</t>
  </si>
  <si>
    <t>% AVANCE META VIGENCIA 2022</t>
  </si>
  <si>
    <t>Durante el mes de enero se adelanto las actividades contractuales requeridas para la contratación del equipo técnico y administrativo necesario para la ejecución de la meta en la vigencia 2022</t>
  </si>
  <si>
    <t>Durante el mes de enero de la vigencia 2022, se ha realizado acompañamiento técnico a 40 m2 de jardines verticales, promovidos en las siguientes localidades: Suba (20 m2) y Chapinero (20 m2).</t>
  </si>
  <si>
    <t>En Enero de 2022 se avanzó con un 0,01, se realizó la planeación de los mecanismos de implementación de la Estrategia, los actores requeridos y se avanzó en la formulación de Bogotá Circular, uno de los cuatro pilares de la Estrategia.</t>
  </si>
  <si>
    <t>Se inicia reporte de la implementación del proyecto  “Fortalecimiento de la Innovación y los mercados sostenibles del clúster del cuero en el barrio San Benito”. Durante enero se lleva a cabo reunión entre la Universidad de los Andes y SDA para coordinar actividades del año 2022</t>
  </si>
  <si>
    <t>Realización de acciones de adaptación al cambio climático: Gestión del riesgo por incendio forestal; Respuesta a emergencias; Instrumentos PIGA y PACA; implementación y seguimiento para recuperar y manejar suelos de protección por riesgo no mitigable.</t>
  </si>
  <si>
    <t>Se incorporó criterios de sostenibilidad ambiental a 14 proyectos.
Así mismo, se realizó la verificación a la incorporación de determinantes ambientales a 10 proyectos de infraestructura en el espacio público.</t>
  </si>
  <si>
    <t>Durante el mes de febrero de 2022 se ha realizado el acompañamiento técnico a 464 m2 correspondientes a techos verdes, en un proyecto existente en espacio privado de la localidad de fontibón.</t>
  </si>
  <si>
    <t>Se realizó la planeación y articulación de los mecanismos de implementación de la Estrategia, los actores requeridos, negocios verdes verificados y se avanzó en la estructuración de los cuatro pilares de la Estrategia.</t>
  </si>
  <si>
    <t>En el proyecto de fortalecimiento de la cadena de valor del cuero se realizó 2 talleres en modelos de negocio y con empresas de galvánico se realizó 2 mesas de trabajo con empresas interesadas en participar en el 2022. Se inicia formulación del proyecto ladrillos verdes</t>
  </si>
  <si>
    <t>Durante el mes de marzo 2022, se incorporó criterios de sostenibilidad ambiental a catorce (14) proyectos de diferentes escalas, tanto en espacio público como en privado, promoviendo la construcción sostenible y el ecourbanismo en la ciudad. Los proyectos a los cuales se les incorporo criterios de sostenibilidad corresponden a: Un (01) Plan Parcial de Desarrollo, un (01) Plan Parcial de Renovación Urbana, nueve (09) Diseños paisajísticos de parques y zonas verdes y tres (03) legalizaciones y regularizaciones de barrios.
Así mismo, se realizó la verificación a la incorporación de determinantes ambientales a diez (10) proyectos de infraestructura en el espacio público, correspondientes a Diseños Paisajisticos de Parques y Zonas Verdes.</t>
  </si>
  <si>
    <t>Durante el mes de marzo de 2022 se ha realizado el acompañamiento técnico a 452 m2 correspondientes a jardines verticales, en proyectos existentes en espacio público y  privado de las localidades de Suba y Chapinetro.</t>
  </si>
  <si>
    <t>En el primer trimestre de 2022 se avanzó a través de las siguientes acciones:
Definición de acciones prioritarias y actores estratégicos.
Impulso a la formulación y desarrollo de proyectos por parte de empresas participantes en GAE.
Reuniones de concertación de proyectos prioritarios para la Estrategia Distrital de Crecimiento Verde en los siguientes temas: Red Moda, Ruta de Emprendimiento, Innovación Sostenible, Bogotá Circular y articulación GAE - Clusters CCB.</t>
  </si>
  <si>
    <t>En el proyecto de fortalecimiento de la cadena de valor del cuero se realizó mesa de trabajo con comité asesor y con empresas de galvánico se realizó acompañamiento individual a las empresas para verificar avance en los proyectos individuales. Se continua la formulación del proyecto ladrillos verdes</t>
  </si>
  <si>
    <t>Ejecución de acciones de adaptación priorizadas: Gestión del riesgo por incendio forestal; Respuesta a emergencias; Implementación de instrumentos (PIGA y PACA); Seguimiento para recuperar y manejar suelos de protección por riesgo no mitigable. Gestión para avanzar en otras acciones de adaptación.</t>
  </si>
  <si>
    <t>Durante el mes de abril 2022, se incorporó criterios de sostenibilidad ambiental a catorce (14) proyectos de diferentes escalas, tanto en espacio público como en privado, promoviendo la construcción sostenible y el ecourbanismo en la ciudad. 
Así mismo, se realizó la verificación a la incorporación de determinantes ambientales a diez (10) proyectos de infraestructura en el espacio público, correspondientes a Diseños Paisajisticos de Parques y Zonas Verdes.</t>
  </si>
  <si>
    <t>Durante el mes de abril de 2022 se ha realizado el acompañamiento técnico a 448 m2 correspondientes a jardines verticales, en proyectos existentes en espacio público y  privado de las localidades de Teusaquillo y Chapinetro.</t>
  </si>
  <si>
    <t>Se inició la construcción del Plan de Acció0n de la EDCV con visión 2030. Adicionalmente se gestionó la vinculación de la SDH a la iniciativa de Bogotá Circular y se avanzó en la consolidación de los proyectos interinstitucionales que se vienen desarrollando. Con las empresas participantes en el PGAE, se realizó un taller para la formulación de proyectos.</t>
  </si>
  <si>
    <t>En el proyecto de fortalecimiento de la cadena de valor del cuero se realizó taller de estrategias de sostenibilidad, se realizó reunión de apertura de proyecto con empresas de galvánico y se continua con la formulación del proyecto ladrillos verdes</t>
  </si>
  <si>
    <t>Durante el mes de mayo 2022, se incorporó criterios de sostenibilidad ambiental a catorce (14) proyectos de diferentes escalas. 
Así mismo, se realizó la verificación a la incorporación de determinantes ambientales a diez (10) proyectos de infraestructura en el espacio público.</t>
  </si>
  <si>
    <t>Durante el mes de mayo de 2022 se ha realizado el acompañamiento técnico a 457 m2 correspondientes a techos verdes y jardines verticales, en proyectos existentes en espacio público y  privado de las localidades de fontibon, engativa, chapinero y santa fé.</t>
  </si>
  <si>
    <t>Se continuó con la construcción del Plan de Acción de la EDCV. Adicionalmente se gestionó la vinculación de la SDHT, la UAESP, la ANDI y el apoyo de GIZ a la iniciativa de Bogotá Circular. Con las empresas participantes en el PGAE, se inició un proyecto piloto de Huertas empresariales.</t>
  </si>
  <si>
    <t>En el proyecto de fortalecimiento de la cadena de valor del cuero se realizó retroalimentación a la guía de criterios de compras sostenibles, en galvánico se realizó reunión con socialización de criterios de participación y se continuó la formulación del proyecto de ladrillos verdes</t>
  </si>
  <si>
    <t>Acciones de adaptación priorizadas en ejecución: gestión del riesgo por incendio forestal; respuesta a emergencias; implementación de instrumentos (PIGA y PACA); seguimiento para recuperar y manejar suelos de protección por riesgo no mitigable. Gestión para avanzar en otras acciones de adaptación.</t>
  </si>
  <si>
    <t>Durante el mes de junio 2022, se incorporó criterios de sostenibilidad ambiental a catorce (14) proyectos de diferentes escalas. 
Así mismo, se realizó la verificación a la incorporación de determinantes ambientales a diez (10) proyectos de infraestructura en el espacio público</t>
  </si>
  <si>
    <t>Durante el mes de junio de 2022 se ha realizó el acompañamiento técnico a 451 m2 correspondientes a techos verdes y jardines verticales, en proyectos existentes en espacio público y  privado de las localidades de chapinero, Engativá, Fontibón y Teusaquillo.</t>
  </si>
  <si>
    <t>Se está construyendo un borrador de Plan de Acción de la Estrategia Distrital de Crecimiento Verde con Visión 2030, en la cual se definan los principales proyectos y líneas de acción a desarrollar en los siguientes años. Igualmente, se conformó el Comité Técnico de Bogotá Circular</t>
  </si>
  <si>
    <t xml:space="preserve">En el proyecto de fortalecimiento de la cadena de valor del cuero se realizó reunión con Bancoldex para alternativas de financiación a proyectos, en galvánico se realizó visitas técnicas para seguimiento a proyectos formulados e ideación para otros y se continuó la formulación de ladrillos verdes </t>
  </si>
  <si>
    <t>Ejecución de acciones de adaptación priorizadas: gestión del riesgo por incendio forestal; respuesta a emergencias; implementación de instrumentos (PIGA y PACA); seguimiento para recuperar y manejar suelos de protección por riesgo no mitigable. Gestión en otros aspectos para la adaptación.</t>
  </si>
  <si>
    <t>Durante el mes de julio 2022, se incorporó criterios de sostenibilidad ambiental a catorce (14) proyectos de diferentes escalas. 
Así mismo, se realizó la verificación a la incorporación de determinantes ambientales a diez (10) proyectos de infraestructura en el espacio público.</t>
  </si>
  <si>
    <t>Durante el mes de julio de 2022 se ha realizó el acompañamiento técnico a 455 m2 correspondientes a techos verdes y jardines verticales, en proyectos existentes en espacio público y  privado de las localidades de engativa, suba, ciudad bolivar, usaquen, fontibón y bosa.</t>
  </si>
  <si>
    <t>Se está definiendo el alcance de la Estrategia Distrital para el Plan de Acción  con Visión 2030, así como su articulación con políticas distritales que están en construcción, como la de Producción y Consumo Sostenible y el Plan de Acción de Cambio Climático</t>
  </si>
  <si>
    <t xml:space="preserve">En el proyecto de recubrimientos electrolíticos se consolidaron los formatos con proyectos individuales formulados y aquellos que se encuentran para seguimiento. Así mismo, se continuó la formulación del proyecto de ladrillos verdes </t>
  </si>
  <si>
    <t>Realización de acciones relacionadas con gestión del riesgo por incendio forestal; respuesta a emergencias; implementación de instrumentos (PIGA y PACA); seguimiento para recuperar y manejar suelos de protección por riesgo no mitigable; y otra gestión para la adaptación al cambio climático.</t>
  </si>
  <si>
    <t>Durante el mes de septiembre 2022, se incorporó criterios de sostenibilidad ambiental a catorce (14) proyectos de diferentes escalas. 
Así mismo, se realizó la verificación a la incorporación de determinantes ambientales a diez (10) proyectos de infraestructura en el espacio público.</t>
  </si>
  <si>
    <t>Durante el mes de septiembre de 2022 se ha realizado el acompañamiento técnico a 460 m2 correspondientes a techos verdes y jardines verticales, en proyectos existentes en espacio público y  privado de las localidades de engativa, candelaria y  Fontibón</t>
  </si>
  <si>
    <t>Se está articulando las acciones de la estrategia distrital de crecimiento verde con la formulación de la política de economía circular que recoje las políticas de producción y consumo sostenible y de residuos</t>
  </si>
  <si>
    <t xml:space="preserve">Se continua la implementación del proyecto para el sector galvánico con enfoque de cadena de valor a través del seguimiento a compromisos de las empresas, así como, a través de la realización de la mesa distrital de PML. Por otro lado, se continuó con la formulación del proyecto de ladrillos verdes </t>
  </si>
  <si>
    <t>Acciones para la adaptación al cambio climático: gestión del riesgo por incendio forestal; respuesta a emergencias; implementación de instrumentos (PIGA y PACA); seguimiento para recuperar y manejar suelos de protección por riesgo no mitigable. Proceso formulación política pública cambio climático.</t>
  </si>
  <si>
    <t>Durante el mes de octubre 2022, se incorporó criterios de sostenibilidad ambiental a catorce (14) proyectos de diferentes escalas. 
Así mismo, se realizó la verificación a la incorporación de determinantes ambientales a diez (10) proyectos de infraestructura en el espacio público.</t>
  </si>
  <si>
    <t xml:space="preserve">Durante el mes de octubre de 2022 se ha realizado el acompañamiento técnico a 450 m2 correspondientes a jardines verticales, en proyectos existentes en espacio  privado de las localidad de Chapinero. </t>
  </si>
  <si>
    <t>Se está coordinando con CCB y SDDE el impulso a temas adicionales al de Economía Circular, como lo son Innovación Sostenible y Negocios Verdes. Adicionalmente se está gestionando la incorporación de otros temas a la agenda pública, como lo son las compras circulares.</t>
  </si>
  <si>
    <t xml:space="preserve">Se continua la implementación del proyecto para el sector galvánico con enfoque de cadena de valor otorgando puntajes a las empresas participantes, así como, a través de la realización de la mesa distrital de PML. Por otro lado, se continuó con la formulación del proyecto de ladrillos verdes </t>
  </si>
  <si>
    <t>Durante el mes de noviembre 2022, se incorporó criterios de sostenibilidad ambiental a catorce (14) proyectos de diferentes escalas. 
Así mismo, se realizó la verificación a la incorporación de determinantes ambientales a nueve (9) proyectos de infraestructura en el espacio público.</t>
  </si>
  <si>
    <t xml:space="preserve">Durante el mes de noviembre de 2022 se ha realizado el acompañamiento técnico a 450 m2 correspondientes a jardines verticales y techos verdes, en proyectos existentes en espacio  privado de las localidad de Chapinero. </t>
  </si>
  <si>
    <t>Se logró la vinculación de Bogotá a la red de ciudades circulares de américa latina, liderada por la CEPAL y se dio inicio al proyecto de Compras públicas circulares. También se definieron las líneas estratégicas de acción para Bogotá Circular.</t>
  </si>
  <si>
    <t xml:space="preserve">Se continua la implementación del proyecto para el sector galvánico. Se continuó con la formulación del proyecto de ladrillos verdes y se realizó reunión con la Universidad de los Andes para continuar el proyecto San Benito Circular y con la Gobernación para la formulación de un banco de proyectos </t>
  </si>
  <si>
    <t>Proceso de formulación de la Política Pública de Acción Climática y acciones para la adaptación: gestión del riesgo por incendio forestal; respuesta a emergencias; implementación de instrumentos (PIGA y PACA); seguimiento para recuperar y manejar suelos de protección por riesgo no mitigable.</t>
  </si>
  <si>
    <t>Durante el mes de diciembre 2022, se incorporó criterios de sostenibilidad ambiental a diez (10) proyectos de diferentes escalas. 
Así mismo, se realizó la verificación a la incorporación de determinantes ambientales a diez (10) proyectos de infraestructura en el espacio público.</t>
  </si>
  <si>
    <t xml:space="preserve">Durante el mes de diciembre de 2022 se ha realizado el acompañamiento técnico a 460 m2 correspondientes a jardines verticales, en proyectos existentes en espacio  privado de las localidades de Chapinero, Fontibón y Engativá. </t>
  </si>
  <si>
    <t>Para cada una de las líneas estratégicas de Bogotá Circular, se definieron acciones a corto, mediano y largo plazo y se defieron compromisos por entidad, se tiene un primer borrador de hoja de ruta de Bogotá Circular para el año 2023, se está construyendo la hoja de ruta de la EDCV para el año 2023.</t>
  </si>
  <si>
    <t>Se continua la implementación del proyecto para el sector galvánico y con la formulación del proyecto de ladrillos verdes. Se realizó socialización de la guía de tratamiento de aguas residuales y herramienta de selección de unidades con dos curtiembres</t>
  </si>
  <si>
    <t>Avance en la formulación de la Política Pública de Acción Climática y acciones de adaptación: gestión del riesgo por incendio forestal; respuesta a emergencias; implementación de instrumentos (PIGA y PACA); seguimiento para recuperar y manejar suelos de protección por riesgo no mitigable.</t>
  </si>
  <si>
    <t>IV GESTIÓN  (FÍSICO) VIGENCIA 2023</t>
  </si>
  <si>
    <t>META VIGENCIA 2023</t>
  </si>
  <si>
    <t>AVANCE META VIGENCIA 2023</t>
  </si>
  <si>
    <t>% AVANCE META VIGENCIA 2023</t>
  </si>
  <si>
    <t>Durante el periodo de enero no fueron programadas actividades.</t>
  </si>
  <si>
    <t>En enero, se realizó la planeación de actividades - hoja de ruta - para el año 2023, dentro de las cuales se destaca un comité de nivel estratégico con directivos de las entidades participantes en Bogotá Circular y un proyecto de articulación al apoyo empresarial con CCB y SDDE.</t>
  </si>
  <si>
    <t>Se inició la formulación de tres proyectos de PML, dos transversales al sectores priorizados curtiembres, metalurgia (galvánico) y Minería relacionados con actividades del POMCA y  sellos ambientales aplicables a cada sector y uno para el sector de metalurgia(galvánico).</t>
  </si>
  <si>
    <t>Acciones de adaptación al cambio climático: gestión para financiación de proyectos, gestión del riesgo por incendio forestal; respuesta a emergencias; e implementación de instrumentos (PIGA y PACA).</t>
  </si>
  <si>
    <t xml:space="preserve">Durante el mes de febrero 2023, se incorporó criterios de sostenibilidad ambiental a diecisiete (17) proyectos de diferentes escalas. 
Así mismo, se realizó la verificación a la incorporación de determinantes ambientales a trece (13) proyectos de infraestructura en el espacio público. </t>
  </si>
  <si>
    <t xml:space="preserve">Durante el mes de febrero de 2023 se ha realizado el acompañamiento técnico a 600 m2 correspondientes a techos verdes, en proyectos existentes en espacio  privado de las localidad de Engativá. </t>
  </si>
  <si>
    <t>En febrero se realizó la reunión del comité de nivel estratégico con directivos de las entidades participantes en Bogotá Circular y se avanzó en el proyecto de articulación al apoyo empresarial con CCB y SDDE.</t>
  </si>
  <si>
    <t xml:space="preserve">Para el sector curtidor se realizó el informe de  actividades  para el CECH y para la CCB; para el sector galvánico se inició con el proyecto de fortalecimiento con empresas vinculadas y de química verde y para el sector minero con las ladrilleras vinculadas al proyecto de ladrillos verdes.
</t>
  </si>
  <si>
    <t>Avance en la formulación de la Política Pública de Acción Climática y acciones de adaptación: gestión del riesgo por incendio forestal; respuesta a emergencias; implementación de instrumentos (PIGA y PACA).</t>
  </si>
  <si>
    <t>Durante el mes de marzo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</si>
  <si>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marzo de 2023 se ha realizado el acompañamiento técnico a 650 m2 correspondientes a techos verdes, en proyectos existentes en espacio  privado de las localidad de Engativá. </t>
  </si>
  <si>
    <t>Se avanzó en  la construcción de hoja de ruta de Bogotá Circular y la presentación de la misma, se realizó la presentación de los programas adelantadas con el sector empresarial: CCB: Fábricas de productividad y Empresas BIC, SDDE: Proyectos de Alto Impacto y SDA: PREAD y ACERCAR.</t>
  </si>
  <si>
    <t xml:space="preserve">
Para el sector curtidor se inició con el proyecto de San Benito Circular II; para el sector galvánico se continuó con el proyecto de Producción Mas Limpia con las empresas vinculadas; y para el sector minero se continuó con el proyecto de ladrillos verdes.
</t>
  </si>
  <si>
    <t>Avance en la formulación de la Política Pública de Acción Climática y acciones de adaptación: gestión del riesgo por incendio forestal; respuesta a emergencias; implementación de instrumentos (PIGA y PACA), gestión en zonas de alto riesgo no mitigable.</t>
  </si>
  <si>
    <t>Durante el mes de abril 2023, se incorporó criterios de sostenibilidad ambiental a diecisiete (17) proyectos de diferentes escalas. 
Así mismo, se realizó la verificación a la incorporación de determinantes ambientales a trece (13) proyectos de infraestructura en el espacio público.</t>
  </si>
  <si>
    <t xml:space="preserve">Durante el mes de abril de 2023 se ha realizado el acompañamiento técnico a 600 m2 correspondientes a techos verdes, en proyectos existentes en espacio  privado de las localidad de Engativá. </t>
  </si>
  <si>
    <t>se inició la consolidación del plan de acción para definir una hoja de ruta única para el programa de ciudades circulares. Adicionalmente, la articulación de los programas que cada una de las entidades adelanta con el sector empresarial: CCB: Fábricas de productividad y Empresas BIC, SDDE: Proyectos de Alto Impacto y SDA: PREAD y ACERCAR.</t>
  </si>
  <si>
    <t>En cada uno de los sectores priorizados se avanzó en los respectivos proyectos de producción más limpia; para el sector curtidor se continuó con el proyecto de San Benito Circular II; para el sector galvánico se adelantaron actividades con el proyecto de fortalecimiento con enfoque de cadena de valor; y para el sector minero con el proyecto de ladrillos verdes</t>
  </si>
  <si>
    <t>Avance en la formulación de la Política Pública de Acción Climática. Realización de acciones de adaptación: gestión del riesgo por incendio forestal; respuesta a emergencias; implementación de instrumentos (PIGA y PACA), gestión en zonas de alto riesgo no mitigable.</t>
  </si>
  <si>
    <t>Durante el mes de mayo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</si>
  <si>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mayo de 2023 se ha realizado el acompañamiento técnico a 600 m2 correspondientes a techos verdes, en proyectos existentes en espacio  privado de las localidad de Engativá. </t>
  </si>
  <si>
    <t>Se realizó la propuesta de metas para Bogotá Circular y se vinculó a la entidad al Cluster CLEAN TECH. se vinculó a ENEL a la mesa técnica de Bogotá Circular y se realizó taller de evaluación de avances. se gestionó con la DRI,  con el programa Bogotá Sostenible, la articulación de las acciones desde la EDCV.</t>
  </si>
  <si>
    <t>Para el sector curtidor se continuó con el proyecto de San Benito Circular II; para el sector galvánico se adelantaron actividades con el proyecto de fortalecimiento con enfoque de cadena de valor; y para el sector minero con el proyecto de ladrillos verdes</t>
  </si>
  <si>
    <t>Durante el mes de junio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</si>
  <si>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junio de 2023 se ha realizado el acompañamiento técnico a 615 m2 correspondientes a techos verdes y jardines verticales, en proyectos existentes en espacio  privado de las localidades de Teusaquillo y Usaquen. </t>
  </si>
  <si>
    <t>Se dio inicio a la consultoría para el fortalecimiento de Bogotá Circular, se realizó presentación de Enel de su proyecto ciudades circulares (seanexa presentación) y se avanzó en la integración de acciones entre SDA, SDDE y CCB. Igualmente se hizo seguimiento a los indicadores de la EDCV.</t>
  </si>
  <si>
    <t>Acciones de adaptación: gestión del riesgo por incendio forestal; respuesta a emergencias; implementación de instrumentos (PIGA y PACA), gestión en zonas de alto riesgo no mitigable.</t>
  </si>
  <si>
    <t>Durante el mes de julio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</si>
  <si>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julio de 2023 se ha realizado el acompañamiento técnico a 575 m2 correspondientes a techos verdes y jardines verticales, en proyectos existentes en espacio  publico y privado de las localidades de Chapinero, Engativá y Usme. </t>
  </si>
  <si>
    <t>Se dio continuidad a la consultoría para el fortalecimiento de Bogotá Circular. Se adjudicó el contrato para el diseño y desarrollo de una plataforma regional de economía circular - Convenio BID y se está formulando la propuesta con Inexmoda y CLEAN para la convocatoria Al Invest.</t>
  </si>
  <si>
    <t>Para el sector curtidor se avanza con el proyecto de San Benito Circular II; para el sector galvánico se continúan las actividades del proyecto de fortalecimiento con enfoque de cadena de valor; y para el sector minero con el desarrollo del proyecto de ladrillos verdes.</t>
  </si>
  <si>
    <t>Acciones de adaptación: gestión del riesgo por incendio forestal; respuesta a emergencias; implementación de instrumentos (PIGA y PACA), gestión en zonas de alto riesgo no mitigable. Ajustes a Política Pública de Acción Climática</t>
  </si>
  <si>
    <t>Durante el mes de agosto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</si>
  <si>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agosto de 2023 se ha realizado el acompañamiento técnico a 671 m2 correspondientes a techos verdes , en un proyecto existente en espacio  privado en la localidad de Santa Fé. </t>
  </si>
  <si>
    <t>Se presentó la propuesta para la convocatoria Al Invest y se articuló con la Agencia Atenea para que desde Bogotá Circular se puedan presentar proyectos al sistema nacional de regalías. Se tienen avances del primer entregable de la caracterización de ciudades para el diseño de la plataforma regional de EC.</t>
  </si>
  <si>
    <t>Para el sector curtidor se avanza con el proyecto de San Benito Circular II; para el sector galvánico se continúan las actividades del proyecto de fortalecimiento con enfoque de cadena de valor; y para el sector minero con el desarrollo del proyecto de ladrillos verdes</t>
  </si>
  <si>
    <t>Acciones de adaptación: gestión del riesgo por incendio forestal; respuesta a emergencias; implementación de instrumentos (PIGA y PACA), gestión en zonas de alto riesgo no mitigable. Ajustes fianales a la Política Pública de Acción Climática</t>
  </si>
  <si>
    <t>Durante el mes de septiembre 2023, se incorporó criterios de sostenibilidad ambiental a dieciocho (18) proyectos de diferentes escalas. 
Así mismo, se realizó la verificación a la incorporación de determinantes ambientales a trece (13) proyectos de infraestructura en el espacio público.</t>
  </si>
  <si>
    <t xml:space="preserve">Durante el mes de septiembre de 2023 se ha realizado el acompañamiento técnico a 585 m2 correspondientes a techos verdes , en un proyecto existente en espacio  privado en la localidad de Chapinero. </t>
  </si>
  <si>
    <t>Se firmó el memorando de Entendimiento con SDDE y CCB, se acordo fortalecer los Negocios Verdes, realizar de una encuesta que permita mapear los avances en sostenibilidad y crecimiento verde y definición de estrategia de promoción del memorando de entendimiento.</t>
  </si>
  <si>
    <t xml:space="preserve">Para el sector curtidor se continúa con el proyecto de San Benito Circular II; para el sector galvánico se adelantaron las actividades del proyecto de fortalecimiento con enfoque de cadena de valor; y para el sector minero con la ejecución del proyecto de ladrillos verdes
</t>
  </si>
  <si>
    <t>Aprobación de la Política Pública de Acción Climática por parte del Comité Distrital del CONPES y realización de acciones de adaptación al cambio climático.</t>
  </si>
  <si>
    <t>Durante el mes de noviembre 2023, se incorporó criterios de sostenibilidad ambiental a diez (10) proyectos de diferentes escalas. 
Así mismo, se realizó la verificación a la incorporación de determinantes ambientales a diez (10) proyectos de infraestructura en el espacio público.</t>
  </si>
  <si>
    <t xml:space="preserve">Durante el mes de noviembre de 2023 se ha realizado el acompañamiento técnico a 223 m2 correspondientes a techos verdes , en un proyecto existente en espacio  privado en la localidad de Usme. </t>
  </si>
  <si>
    <t>Se concertó la continuidad del memorando de entendimiento por el término de un año y se definieron proyectos prioritarios y plan de acción para Bogotá Circular, como propuesta para la nueva administración.</t>
  </si>
  <si>
    <t>Para el sector curtidor se continúa con el proyecto de San Benito Circular II; para el sector galvánico se adelantaron las actividades del proyecto de fortalecimiento con enfoque de cadena de valor; y para el sector minero con la ejecución del proyecto de ladrillos verdes</t>
  </si>
  <si>
    <t>Ejecución de acciones de adaptación al cambio climático: activación/respuesta a emergencias, gestión del riesgo por incendio forestal, instrumentos ambientales y manejo en zonas de alto riesgo no mitigable.</t>
  </si>
  <si>
    <t>Durante el mes de diciembre 2023, se incorporó criterios de sostenibilidad ambiental a diez (10) proyectos de diferentes escalas. 
Así mismo, se realizó la verificación a la incorporación de determinantes ambientales a diez (10) proyectos de infraestructura en el espacio público.</t>
  </si>
  <si>
    <t xml:space="preserve">Durante el mes de diciembre de 2023 se ha realizado el acompañamiento técnico a 192 m2 correspondientes a jardines verticales, en dos proyectos existentes en espacio  privado en las localidades de Chapinero y Engativá. </t>
  </si>
  <si>
    <t>Se realizó la firma de la prorroga por un año delMemorando de Entendimiento y se realizó reunión de planeación estratégica de proyectos de Bogotá Circular para el 2024.</t>
  </si>
  <si>
    <t>Para el sector curtidor se realizó el informe de resultados del proyecto San Benito Circular II y se enviaron los oficios a las entidades participantes en la Mesa Distrital de Curtiembres, con el estudio de prefactibilidad y el análisis financiero de la PTAR; para el sector metalurgia se elaboraron los informes finales del proyecto y se participó en la mesa PML del sector; y para el sector minero mesa distrital, 1 mesa de trabajo con la CAR.</t>
  </si>
  <si>
    <t>IV GESTIÓN  (FÍSICO) VIGENCIA 2024</t>
  </si>
  <si>
    <t>META VIGENCIA 2024</t>
  </si>
  <si>
    <t>AVANCE META VIGENCIA 2024</t>
  </si>
  <si>
    <t>% AVANCE META VIGENCIA 2024</t>
  </si>
  <si>
    <t>Se ajustó el cronograma de actividades para dar cumplimiento a la meta en enero de 2024</t>
  </si>
  <si>
    <t>Durante el periodo referenciado no se logró la magnitud programada, dado que por solicitud de la Alcaldesa fue necesario adelantar gestiones para la futura intervención de espacio previsto para el establecimiento de jardines verticales  en la zona denominada La Fortaleza dos de la Localidad de Santa Fé, así mismo, el profesional que apoya el cumplimiento de la meta estuvo enfocado a atender la solicitud de revisión de plan de acción del programa de agricultura urbana, por lo que se dificulto el trabajo de campo.</t>
  </si>
  <si>
    <t>Durante el periodo referenciado no se logró la magnitud programada, dado que los proyectos asignados no se encontraban el operación por lo cual se dificulto la evaluacion de todos los criterios incorporados en los pronunciamientos generados a los proyectos de construccion objeto de verificación..</t>
  </si>
  <si>
    <t>Durante el periodo referenciado no se logró la magnitud programada, dado que esta meta es por demanda y se presento una baja en el requerimiento de determinantes ambientales a proyectos de contrucción.</t>
  </si>
  <si>
    <t>Dar continuidad con la atención de trámites y la incorporación de los criterios de Ecourbanismo y Construcción Sostenible.</t>
  </si>
  <si>
    <t>Durante el periodo referenciado no se logró la magnitud programada, dado que los proyectos asignados no se encontraban el operación por lo cual se dificulto la evaluación de todos los criterios incorporados en los pronunciamientos generados a los proyectos de construcción objeto de verificación.</t>
  </si>
  <si>
    <t>Realizar la asignación de proyectos adicionales, con el fin de que se puedan encontrar en esa muestra los proyectos requeridos para verificación y que den cumplimiento a lo establecido en la meta.</t>
  </si>
  <si>
    <t>Durante el periodo referenciado no se logró la magnitud programada, dado que por solicitud de la Alcaldesa fue necesario adelantar gestiones para la futura intervención de espacio previsto para el establecimiento de jardines verticales  en la zona denominada La Fortaleza dos, de la localidad de Santa Fe, así mismo, el profesional que apoya el cumplimiento de la meta estuvo enfocado a atender la solicitud de revisión de plan de acción del programa de agricultura urbana, por lo que se dificulto el trabajo de campo.</t>
  </si>
  <si>
    <t>La futura intervención de espacio previsto para el establecimiento de jardines verticales  en la zona denominada La Fortaleza dos, de la localidad de Santa Fé, aportará al cumplimiento de meta, por lo que se debe dar continuidad a las acciones previsas para su ejecución.</t>
  </si>
  <si>
    <t>Para el presente reporte se presenta un avance de 3,336 correspondiente a las acciones realizadas en el mes de enero (0,04), febrero (0,309), marzo (0,309), abril (0,309), mayo (0,309), junio (0,309), julio (0,309), agosto (0,309), septiembre (0,309), octubre (0,309), noviembre (0,309) y diciembre (0,206) del año 2023. Para el mes de diciembre se cierra la gestión del proyecto red moda circular y logística verde, se continua la gestión con los proyectos de sostenibilidad energética sector público y se da inicio del proyecto compras circulares el cual cierra el paquete de 7 proyectos de economía circular.</t>
  </si>
  <si>
    <t>Las actividades del proyecto de plataforma regional de economía circular, serán desarrolladas en el mes de enero de 2024 con los profesionales que ejecutan las adiciones del año 2023</t>
  </si>
  <si>
    <t>Para este mes no se reportan actividades del proyecto de plataforma regional de economía circular dado que se presentan cambios internos del equipo consultor lo que presenta una pausa en el proyecto, el cual se reactivara en el mes de enero de 2024, por estas razones no se reporta los 3,439 proyectos que se tenían programados.</t>
  </si>
  <si>
    <t>Durante la vigencia 2023 se presenta un avance de 3,30 correspondiente a las acciones realizadas en los meses de enero (0,165), febrero a noviembre (0,297) cada mes y diciembre (0.1650). A continuación, se detallan las acciones realizadas en diciembre: Se avanzó con el desarrollo de actividades en cada uno de los tres sectores priorizados del POMCA, para el sector curtidor se adelantó la implementación del proyecto San Benito Circular II en el cual se realizó el informe de seguimiento, se enviaron los oficios a las entidades participantes en la Mesa Distrital de Curtiembres, con el estudio de prefactibilidad y el análisis financiero de la Planta de tratamiento de aguas residuales -PTAR enviada por ASOPIESB y se recibieron los autodiagnósticos de ecoetiqueta de Cundinamarca para el sector aplicados por 4 empresas. Para el sector galvánico se elaboraron los informes finales de cada una de las empresas participantes en el proyecto ProRedES, y participó en la mesa interinstitucional de producción mas limpia- PML; en el sector minero se realizó la mesa distrital de minería, y se llevó a cabo una mesa de trabajo con la CAR. En las actividades transversales, para el proyecto “Banco de Proyectos” se ejecutó una mesa de trabajo con el sistema de información SIRío Bogotá; para el proyecto “Sellos Ambientales” se realizó la mesa de trabajo con la ladrillera que cuenta con el SAC de la NTC 6033 y se llevó a cabo la última mesa de sectores productivos del año.</t>
  </si>
  <si>
    <t>Durante la vigencia de 2023 corresponde a (185) proyectos, para un total de (514) proyectos durante el cuatrienio, a los cuales se les ha incorporado criterios de sostenibilidad y corresponden a: (14) actuaciones estratégicas, (18) Planes Parciales de Desarrollo, (26) Planes Parciales de Renovación Urbana, (56) Proyectos de Legalización y Regularización de Barrios, (15) Planes de Implantación,  (06) Planes de Regularización y Manejo, (07) Planes Directores para parques, (02) Planes de Manejo de Humedales, (280) Diseños paisajísticos de parques y zonas verdes, (35) proyectos de compatibilidad de uso de vivienda en suelo restringido, (04) Balances de zonas verdes, (02) Patios zonales para el Sistema Integrado de Transporte Publico – SITP, (03) proyectos con Acciones de mitigación de impactos ambientales uso dotacional, comercio y servicios,  (02) proyectos de segmentos viales, (02) lineamientos para Ecobarrios, (01) aislamiento de proyecto de construcción, (10) proyectos Bogotá Construcción Sostenible y (31) proyectos de infraestructura especial como colegios y aulas ambientales, tramos viales en intervenciones en áreas verdes y Zonas de Manejo y Preservación Ambiental y vallados.
Durante el periodo referenciado no se logró la magnitud programada, dado que esta meta es por demanda y se presento una baja en el requerimiento de determinantes ambientales a proyectos de contrucción.</t>
  </si>
  <si>
    <t>Durante la vigencia 2023, se ha verificado la incorporación de determinantes ambientales a ciento treinta y siete (137) proyectos de infraestructura en el espacio público y privado; (135) corresponden a diseños paisajísticos de parques y zonas verdes y (2) son Planes de Implantación.
En el mes de diciembre se verificaron 10 proyectos de los cuales se han desarrollado en las siguientes localidades: (01) Fontibón, (03) Suba, (03) Engativá, (01) Bosa, (01) Teusaquillo y (01) Rafael Uribe.
Durante el periodo referenciado no se logró la magnitud programada, dado que los proyectos asignados no se encontraban el operación por lo cual se dificulto la evaluación de todos los criterios incorporados en los pronunciamientos generados a los proyectos de construcción objeto de verificación.</t>
  </si>
  <si>
    <t>Durante la vigencia 2023, se ha realizado acompañamiento técnico a 5922 m2 de techos verdes, durante el mes de diciembre 192 m2 promovidos en las localidades de Engativá y Chapinero.
Durante el periodo referenciado no se logró la magnitud programada, dado que por solicitud de la Alcaldesa fue necesario adelantar gestiones para la futura intervención de espacio previsto para el establecimiento de jardines verticales  en la zona denominada La Fortaleza dos, de la localidad de Santa Fe, así mismo, el profesional que apoya el cumplimiento de la meta estuvo enfocado a atender la solicitud de revisión de plan de acción del programa de agricultura urbana, por lo que se dificulto el trabajo de campo.</t>
  </si>
  <si>
    <t>Durante la vigencia 2023 en el proyecto Red Moda Circular se presenta la actualización de plan de trabajo alcanzando un 97% de ejecución. En el proyecto de Sostenibilidad Energética Sector Público se presenta avance del plan de trabajo del proyecto, de acuerdo con los paquetes de productos establecidos en los términos de referencia de la consultoría del proyecto y se definió que el estado de avance actual del mismo es del 40 %. lo que corresponde a la primera entrega de informes técnicos y avances en los temas legales e institucionales. En relación con el proyecto Logística Verde se presenta un avance del 90 % correspondiente a los resultados obtenidos en eco conducción, dashboard del 40% de los vehículos en eficiencia logística. Finalmente, se presenta la primera versión del producto No 1 del contrato de consultoría del proyecto denominado Plataforma Regional de Economía Circular, con un avance del 7%.
Para este mes no se reportan actividades del proyecto de plataforma regional de economía circular dado que se presentan cambios internos del equipo consultor lo que presenta una pausa en el proyecto, el cual se reactivara en el mes de enero de 2024.</t>
  </si>
  <si>
    <t>Durante la vigencia 2023 para el proyecto Red Moda Circular (RMC) se realizan mesas de trabajo con actores del gobierno nacinal y la cooperacion internacional para debatir los resultados obtenidos en RMC durante el 2023, de ello se concluye que se hace necesario avanzar en la definicion de indicadores, estrategias de colaboracion entre otras. En lo relacionado con el proyecto de logística Verde no se realizaron mesas de trabajo considerando que el proyecto se enceitra en su etapa de finalización y acompañamiento a las empresas con lso resultados finales de los proyectos. En el proyecto Sostenibilidad energética sector público, se inicia la etapa de estudios de prefactibilidad, lo que implica el desarrollo de nuevos estudios y comunicaciones con las entidades beneficiarias, además, se genera acercamientos con el fondo Gap Fund para identificar nuevas oportunidades en la implementación de la hoja de ruta del proyecto. Finalmente, en este mes de diciembre se inicia con el reporte del proyecoto piloto de compras circulares, el cual inicia con la conpcetualización con el equipo de trabajo y el inicio de un documento orientativo del proyecto, empezando con la integración de las politicas de colombia compra eficiente y los negocios verdes de la ventanilla de negocios verdes de la Secretaría Distrital de Ambiente. 
Para este mes no se reportan actividades del proyecto de plataforma regional de economía circular dado que se presentan cambios internos del equipo consultor lo que presenta una pausa en el proyecto, el cual se reactivara en el mes de enero de 2024.</t>
  </si>
  <si>
    <t>Política Pública Acción Climática (PPAC):
-Reuniones con entidades: observaciones diagnóstico; ajustes análisis de instrumentos y puntos críticos
-Concertación intra e interinstitucional de productos y resultados
-Oficios y memorandos remisión plan de acción a responsables y corresponsables
-Ajustes y validación resultados y productos adaptación, algunos de gobernanza y conocimiento
-Validación fichas indicadores
-Actualización cronograma
-Descripción resultado adaptación; insumo a productos
-Presentación a instancias distritales, regionales y nacionales
-Revisión y aportes documento CONPES
-Aprobación CONPES
-Priorización acciones
Proyectos normativos:
-Ajustes decreto y exp. de motivos presupuesto carbono y metas adaptación. Quedó solo mitigación
-Concepto proyecto de Acuerdo desplazados climáticos
Acciones adaptación:
-Orientación a Ecosimple (consultor del Banco Mundial) para proyecto en barrio San Carlos. 10 reuniones. Revisión y aportes a productos
Cooperación internacional:
-Reunión con GAP FUND, para proyecto
-Desarrollo y cierre programa Women4climate
-Preparación taller empleos verdes
-Reporte Declaración Naturaleza Urbana y ajuste cartográfico
-Aportes a ‘Climate Smart Cities Challenge’
Grupo Interno de Trabajo sobre Cambio Climático:
-Elaboración Plan de Trabajo 2023
-6 reuniones ordinarias
-Aprobación informe anual 2022 y avance 2023
-Entrega información
Divulgación:
-Retroalimentación con ICLEI para reporte 2022 en Carbon Disclosure Project. Reporte y complemento 2023: obtención máxima calificación
-Bullets para charlas y participación en COP28
-Coordinación eventos emergencia climática
-Revisión y actualización contenidos en Observatorio Ambiental y Página web
-Gestión para publicar info. adaptación en Visor Geográfico Ambiental
-Información Soluciones basadas en la Naturaleza a alcaldías locales
-Presentaciones a Jardín Botánico, Consejo Consultivo Ambiente, Universidades y otros
-Reporte Emergencia Climática
-Creación carpeta para el Despacho</t>
  </si>
  <si>
    <t>Durante la vigencia 2023 se formuló un proyecto de articulación de apoyo al sector empresarial, entre la SDA, la Cámara de Comercio de Bogotá y la Secretaria Distrital de Desarrollo Económico y se revisaron los proyectos aceleradores que se quieren impulsar desde Bogotá Circular y el potencial de otros proyectos. Se logró el apoyo de GIZ a los proyectos Regenera (que se adelanta con el sector restaurador), Compras Sostenibles y se definieron criterios de evaluación y aceptación de nuevos proyectos aceleradores, así como se logró el apoyo de GIZ al proyecto de Compras Circulares y se gestionó la unión con CLEAN Dinamarca e Inexmoda para presentar un proyecto a la convocatoria Al Invest. En relación con el proyecto de Compras Circulares, se están articulando acciones con Colombia Compra Eficiente. En diciembre se adelanto un primer borrador de un nuevo proyecto acelerador: Puntos de Economía Circular.</t>
  </si>
  <si>
    <r>
      <t>Avance meta 2023: 35%</t>
    </r>
    <r>
      <rPr>
        <sz val="11"/>
        <color rgb="FFFF0000"/>
        <rFont val="Calibri"/>
        <family val="2"/>
      </rPr>
      <t xml:space="preserve">
</t>
    </r>
    <r>
      <rPr>
        <u/>
        <sz val="11"/>
        <color theme="1"/>
        <rFont val="Calibri"/>
        <family val="2"/>
      </rPr>
      <t>Cambio climático</t>
    </r>
    <r>
      <rPr>
        <sz val="11"/>
        <color theme="1"/>
        <rFont val="Calibri"/>
        <family val="2"/>
      </rPr>
      <t xml:space="preserve">: Política Acción Climática: ajustes a diagnóstico; validación resultados y productos; ajustes plan de acción y documento CONPES; aprobación. Ajustes proyecto Decreto. Concepto proyecto de Acuerdo. Orientación a consultoría barrio San Carlos. Acciones para cooperación. Liderazgo Grupo Interno de Trabajo.  Divulgación información. Eventos emergencia climática.
</t>
    </r>
    <r>
      <rPr>
        <u/>
        <sz val="11"/>
        <color theme="1"/>
        <rFont val="Calibri"/>
        <family val="2"/>
      </rPr>
      <t>Incendios forestales-IF</t>
    </r>
    <r>
      <rPr>
        <sz val="11"/>
        <color theme="1"/>
        <rFont val="Calibri"/>
        <family val="2"/>
      </rPr>
      <t xml:space="preserve">: Campañas. Aportes Plan Gestión Riesgo y Estrategia Respuesta. Evaluación complejidad y reportes incendios. Acciones prevención, mitigación y manejo. Criterios para georreferenciar y valorar daños. Preparación temporadas menos lluvias y El Niño. Presidencia Comisión Distrital IF. Expedición Dcto. 622/23.
</t>
    </r>
    <r>
      <rPr>
        <u/>
        <sz val="11"/>
        <color theme="1"/>
        <rFont val="Calibri"/>
        <family val="2"/>
      </rPr>
      <t>Activación Emergencias</t>
    </r>
    <r>
      <rPr>
        <sz val="11"/>
        <color theme="1"/>
        <rFont val="Calibri"/>
        <family val="2"/>
      </rPr>
      <t>: 2722 emergencias activadas. Reportes Planes de Temporadas 2023. Participación en Puestos Mando Unificado, Centro Operaciones Emergencias y Mesas de Trabajo. Realización Curso Emergencias. Aportes a documentos. Aval protocolos Estrategia Institucional.</t>
    </r>
    <r>
      <rPr>
        <u/>
        <sz val="11"/>
        <color theme="1"/>
        <rFont val="Calibri"/>
        <family val="2"/>
      </rPr>
      <t xml:space="preserve">
Instrumentos planeación ambiental:</t>
    </r>
    <r>
      <rPr>
        <sz val="11"/>
        <color theme="1"/>
        <rFont val="Calibri"/>
        <family val="2"/>
      </rPr>
      <t xml:space="preserve"> PIGA: Atención 721 peticiones y 55 jornadas para promover el conocimiento y mejoramiento en la gestión ambiental en entidades públicas, Actualizacion norma PIGA
PACA: Reporte Cuenta Anual PACA 2022 a Contraloría, seguimiento PACA II-2022 y I-2023 y ajuste PACA 2020-2024.
</t>
    </r>
    <r>
      <rPr>
        <u/>
        <sz val="11"/>
        <color theme="1"/>
        <rFont val="Calibri"/>
        <family val="2"/>
      </rPr>
      <t>Suelos de Protección por Alto Riesgo no Mitigable-ARNM</t>
    </r>
    <r>
      <rPr>
        <sz val="11"/>
        <color theme="1"/>
        <rFont val="Calibri"/>
        <family val="2"/>
      </rPr>
      <t>: Reunión y convocatoria entidades seguimiento PMA; Reunión Pacto Vida Digna Altos de la Estancia; Visita e instalación señalética; Acompañamiento 25 operativos control ocupaciones; Asistencia Comité Seguimiento Medidas de Prevención y Mitigación de Riesgo; Propuesta acto administrativo y reunión interinstitucional proceso recibo predios en ARNM; Jornada plantación comunitaria; Visita preliminar prueba piloto entrega predios Caja Vivienda Popular; Reglamentación art 71 POT 555/2021, mediante resolución SDA-IDIGER 2296. Aprobacion procedimientos PM03-PR52 y PM03-PR53 para recibo y administración directa predios en zonas ARNM.</t>
    </r>
  </si>
  <si>
    <r>
      <t xml:space="preserve">En 2023 la entidad </t>
    </r>
    <r>
      <rPr>
        <u/>
        <sz val="9"/>
        <color theme="1"/>
        <rFont val="Arial"/>
        <family val="2"/>
      </rPr>
      <t>activó 2722 emergencias</t>
    </r>
    <r>
      <rPr>
        <sz val="9"/>
        <color theme="1"/>
        <rFont val="Arial"/>
        <family val="2"/>
      </rPr>
      <t xml:space="preserve">, a las cuales dio respuesta y correspondieron con los servicios básicos de:
- Manejo de escombros y obras de emergencia: 694 emergencias por árboles caídos, 1953 por árboles en riesgo de caída y 2 por Residuos de Construcción y Demolición (RCD).
- Saneamiento básico: 6 emergencias por vertimientos y 5 emergencias por contaminación atmosférica.
-Manejo de Materiales y/o Residuos peligrosos: 11 emergencias por Materiales Peligrosos (MATPEL), 11 emergencias por Residuos Peligrosos ordinarios (RESPEL) y 40 emergencias por Residuos Peligrosos Hospitalarios (RESPEL RH). 
* Reportes semanales de los </t>
    </r>
    <r>
      <rPr>
        <u/>
        <sz val="9"/>
        <color theme="1"/>
        <rFont val="Arial"/>
        <family val="2"/>
      </rPr>
      <t>Planes de Acción de las temporadas de lluvias y menos lluvias de 2023</t>
    </r>
    <r>
      <rPr>
        <sz val="9"/>
        <color theme="1"/>
        <rFont val="Arial"/>
        <family val="2"/>
      </rPr>
      <t xml:space="preserve">, según acciones a cargo de la SDA.
* </t>
    </r>
    <r>
      <rPr>
        <u/>
        <sz val="9"/>
        <color theme="1"/>
        <rFont val="Arial"/>
        <family val="2"/>
      </rPr>
      <t>Participación en Niveles de Coordinación</t>
    </r>
    <r>
      <rPr>
        <sz val="9"/>
        <color theme="1"/>
        <rFont val="Arial"/>
        <family val="2"/>
      </rPr>
      <t xml:space="preserve">: 
- PMU para eventos de temporada de lluvias: mediados de ene al 2 de feb (turnos presenciales) y desde el 25 de abr hasta may.
- PMU por incendio forestal en Parques Bogotá (ago).
- PMUs por derrame de hidrocarburos: localidad de Usme (sep) y localidad de Fontibón (oct).
- PMU por derrame de ácido clorhídrico en vía pública en localidad de Fontibón (nov).
- PMUs por incendios estructurales (2) en localidad de Ciudad Bolívar (nov y dic). 
- COE por elecciones territoriales (oct).
* Participación en las </t>
    </r>
    <r>
      <rPr>
        <u/>
        <sz val="9"/>
        <color theme="1"/>
        <rFont val="Arial"/>
        <family val="2"/>
      </rPr>
      <t>Mesas de Trabajo para el Manejo de Emergencias y Desastres y para el Conocimiento y la Reducción del Riesgo</t>
    </r>
    <r>
      <rPr>
        <sz val="9"/>
        <color theme="1"/>
        <rFont val="Arial"/>
        <family val="2"/>
      </rPr>
      <t xml:space="preserve">.
* </t>
    </r>
    <r>
      <rPr>
        <u/>
        <sz val="9"/>
        <color theme="1"/>
        <rFont val="Arial"/>
        <family val="2"/>
      </rPr>
      <t>Aportes y observaciones</t>
    </r>
    <r>
      <rPr>
        <sz val="9"/>
        <color theme="1"/>
        <rFont val="Arial"/>
        <family val="2"/>
      </rPr>
      <t xml:space="preserve"> a: 
+ Actualización Plan Distrital de Gestión del Riesgo de Desastres y exposición de motivos para decreto adopción.
+ Protocolos de Respuesta a Emergencias de la Estrategia Institucional de Respuesta.
+ Actualización Estrategia Distrital para la Respuesta a Emergencias.
+ Plan de Acción Segunda Temporada de Lluvias 2023.
+ Plan de Acción Temporada de Menos Lluvias - I sem 2024. 
* Realización </t>
    </r>
    <r>
      <rPr>
        <u/>
        <sz val="9"/>
        <color theme="1"/>
        <rFont val="Arial"/>
        <family val="2"/>
      </rPr>
      <t xml:space="preserve">curso virtual de Respuesta a emergencias </t>
    </r>
    <r>
      <rPr>
        <sz val="9"/>
        <color theme="1"/>
        <rFont val="Arial"/>
        <family val="2"/>
      </rPr>
      <t>para colaboradores de la Entidad y entrega informe final de resultados a la Dirección Distrital de Desarrollo Institucional.</t>
    </r>
  </si>
  <si>
    <r>
      <t xml:space="preserve">Avance acumulado:0,9 (2020:0,15; 2021:0,25; 2022:0,25; 2023:0,25). Acciones:
</t>
    </r>
    <r>
      <rPr>
        <u/>
        <sz val="11"/>
        <color theme="1"/>
        <rFont val="Calibri"/>
        <family val="2"/>
      </rPr>
      <t>Adaptación al cambio climático</t>
    </r>
    <r>
      <rPr>
        <sz val="11"/>
        <color theme="1"/>
        <rFont val="Calibri"/>
        <family val="2"/>
      </rPr>
      <t xml:space="preserve">: Evaluación Riesgos Climáticos; Acciones adaptación y transversales Plan de Acción Climática-PAC; Propuesta Monitoreo, Evaluación y Reporte; Indicadores y validación entidades implementadoras; Aportes proyecto decreto metas CC; Formulación Política Pública Acción Climática 2050; Soporte Declaración Naturaleza Urbana; Gestión cooperación; Divulgación información; Eventos emergencia climática; funcionamiento Grupo Interno.
</t>
    </r>
    <r>
      <rPr>
        <u/>
        <sz val="11"/>
        <color theme="1"/>
        <rFont val="Calibri"/>
        <family val="2"/>
      </rPr>
      <t>Gestión riesgo incendio forestal-IF</t>
    </r>
    <r>
      <rPr>
        <sz val="11"/>
        <color theme="1"/>
        <rFont val="Calibri"/>
        <family val="2"/>
      </rPr>
      <t xml:space="preserve">:7 campañas; Evaluación complejidad y reportes IF; Revisión medidas contingencia en PMA y acciones de inclusión; Diseño, ejecución y socialización acciones mitigación y estrategias comunicación en zonas interfaz urbano forestal; Educación a Consejos Locales Gestión Riesgo; Aportes término y definición IF; Aportes a documentos Técnicos; Capacitaciones; Curso virtual; Restauración 3 ha afectadas por fuego(2020); Enriquecimiento vegetal(2021:542 árboles); Valoración daños IF; Acciones de manejo; Identificación puntos para hidrantes en humedales; Aportes y reportes Planes temporadas menos lluvias; Preparación Fenómeno El Niño 2023; Presidencia Comisión Distrital IF. Expedición Dcto. 622/23.
</t>
    </r>
    <r>
      <rPr>
        <u/>
        <sz val="11"/>
        <color theme="1"/>
        <rFont val="Calibri"/>
        <family val="2"/>
      </rPr>
      <t>Activación a Emergencias</t>
    </r>
    <r>
      <rPr>
        <sz val="11"/>
        <color theme="1"/>
        <rFont val="Calibri"/>
        <family val="2"/>
      </rPr>
      <t xml:space="preserve">:9067 emergencias.
</t>
    </r>
    <r>
      <rPr>
        <u/>
        <sz val="11"/>
        <color theme="1"/>
        <rFont val="Calibri"/>
        <family val="2"/>
      </rPr>
      <t>Instrumentos Planeación Ambiental</t>
    </r>
    <r>
      <rPr>
        <sz val="11"/>
        <color theme="1"/>
        <rFont val="Calibri"/>
        <family val="2"/>
      </rPr>
      <t>:</t>
    </r>
    <r>
      <rPr>
        <b/>
        <sz val="11"/>
        <color theme="1"/>
        <rFont val="Calibri"/>
        <family val="2"/>
      </rPr>
      <t>PIGA</t>
    </r>
    <r>
      <rPr>
        <sz val="11"/>
        <color theme="1"/>
        <rFont val="Calibri"/>
        <family val="2"/>
      </rPr>
      <t xml:space="preserve">:11 capacitaciones y 159 jornadas actualización temas ambientales; Respuesta a 434 requerimiento; Aportes actualización y creación normativa; Concurso Al Trabajo en Bici y Buenas Prácticas Ambientales; Reconocimiento 56 entidades con alto desempeño; Semana ambiental;13 mesas con Alcaldías Locales; Conversatorio Practica ambiental; Actualización norma. </t>
    </r>
    <r>
      <rPr>
        <b/>
        <sz val="11"/>
        <color theme="1"/>
        <rFont val="Calibri"/>
        <family val="2"/>
      </rPr>
      <t>PACA</t>
    </r>
    <r>
      <rPr>
        <sz val="11"/>
        <color theme="1"/>
        <rFont val="Calibri"/>
        <family val="2"/>
      </rPr>
      <t xml:space="preserve">:Ajuste procedimiento PM03-PR33; Seguimiento y reporte PACA 2020 y Bgtá Siglo XXI 2020-2024 de 2021-2023; Cuenta Anual PACA; Actual. módulo en Forest;Definición indicadores PACA 2020-2024 OAB; Revisión fichas técnicas;Elaboración y ajustes formulación PACA Bgtá Siglo XXI 2020-2024.
</t>
    </r>
    <r>
      <rPr>
        <u/>
        <sz val="11"/>
        <color theme="1"/>
        <rFont val="Calibri"/>
        <family val="2"/>
      </rPr>
      <t>Acciones recuperación ambiental suelos de protección por Alto Riesgo No Mitigable(ARNM)</t>
    </r>
    <r>
      <rPr>
        <sz val="11"/>
        <color theme="1"/>
        <rFont val="Calibri"/>
        <family val="2"/>
      </rPr>
      <t>: Seguimiento áreas RNM(70) Altos de la Estancia-AE; Concertación y firma pacto por la vida digna AE; Avance restauración 2,2 ha(plantación 1260); 3 huertas comunitarias fortalecidas e instalación 1 nueva; 9 reuniones interinstitucionales recibo predios RNM; Acompañamiento 95 operativos control ocupaciones; Visita 56 predios evaluados y proyecto de manejo;7 reuniones propuesta reglamentación art 71 POT dcto 555/2021;2 visitas Cabildo Ciudadano UPZ Marruecos y Diana Turbay; Comité seguimiento medidas preventivas y mitigación riesgo AE; Asistencia audiencia pública; Mesa Técnica Trabajo AE; Construcción Indicador producto 2.1.5; Reuniones PMA; Reuniones Pacto Vida Digna AE; Visita señalética AE; Propuesta acto administrativo Resolución 4268/2022; Aprobación procedimientos PM03-PR52 y PM03-PR53 para recibo y administración directa predios en ARNM; Visita preliminar prueba piloto entrega predios Caja Vivienda Popular.</t>
    </r>
  </si>
  <si>
    <r>
      <t xml:space="preserve">El acumulado ejecutado plan de desarrollo corresponde a 17.024 m2 de techos verdes y jardines verticales con acompañamiento técnico, de los cuales 2500 m2 fueron atendidos en la vigencia 2020, 3540 m2 corresponden a la vigencia 2021, 5062 m2 corresponden a la vigencia 2022 y </t>
    </r>
    <r>
      <rPr>
        <sz val="11"/>
        <color rgb="FFFF0000"/>
        <rFont val="Calibri"/>
        <family val="2"/>
      </rPr>
      <t>5922</t>
    </r>
    <r>
      <rPr>
        <sz val="11"/>
        <color theme="1"/>
        <rFont val="Calibri"/>
        <family val="2"/>
      </rPr>
      <t xml:space="preserve"> m2 corresponden a la gestión adelantada en lo que se lleva de vigencia 2023.
Durante la vigencia 2023, se ha realizado acompañamiento técnico a 5922 m2 de techos verdes, durante el mes de diciembre 192 m2 promovidos en las localidades de Engativá y Chapinero.</t>
    </r>
  </si>
  <si>
    <r>
      <t>La meta Plan de Desarrollo presenta un avance del cuatrienio de 0,</t>
    </r>
    <r>
      <rPr>
        <sz val="11"/>
        <rFont val="Calibri"/>
        <family val="2"/>
      </rPr>
      <t>95</t>
    </r>
    <r>
      <rPr>
        <sz val="11"/>
        <color theme="1"/>
        <rFont val="Calibri"/>
        <family val="2"/>
      </rPr>
      <t xml:space="preserve"> (2020: 0,05; 2021: 0,30; 2022: 0,30; 2023: 0,30), con las siguientes acciones:
Formulación de la Estrategia Distrital de Crecimiento Verde (EDCV) y de los indicadores de seguimiento.
Definición de acciones prioritarias para iniciar la implementación y actores estratégicos.
Firma de Memorando de Entendimiento con Cámara de Comercio de Bogotá y Secretaria de Desarrollo Económico.
Impulso a la formulación y desarrollo de proyectos de crecimiento verde por parte de empresas participantes en el programa de Gestión Ambiental Empresarial.
Definición de proyectos prioritarios para la Estrategia Distrital de Crecimiento Verde: Red Moda, Compras Circulares, Bogotá Circular, Regenera.
Vinculación de otros actores estratégicos: SENA, FENALCO, Secretaría de Desarrollo Económico, Secretaría Distrital de Hábitat, UAESP, ANDI, CEMPRE, ACOPLASTICOS, PROBOGOTA, CONNECT, ENEL y org. de cooperación: GIZ, WWF.
Desarrollo de talleres estratégicos, dirigidos por GIZ y CONNECT para definir visión, objetivos y plan de acción para Bogotá Circular.
Conformación de Comité Técnico de la iniciativa Bogotá Circular.
Definición de líneas estratégicas de acción de Bogotá Circular y de entidades líderes y compromisos por cada línea de acción.
Vinculación de Bogotá al pacto de ciudades circulares de la CEPAL.
Gestión para el apoyo de entidades de cooperación: GIZ, CLEAN, ONUDI, Fundación Ellen McArtur.
Realización de un taller de gestión del conocimiento para Bogotá Circular y  contratación de un apoyo desde la GIZ para la métrica y gobernanza. 
Consolidación de una hoja de ruta para Bogotá Circular, que integra los lineamientos establecidos por la CEPAL para el programa de ciudades circulares. 
Evaluación y definición de puntos de articulación con la Cámara de Comercio de Bogotá y con la Secretaría Distrital de Desarrollo Económico.
Establecimiento de metas y responsabilidades para el desarrollo de Bogotá Circular y articulación con el borrador de Política Distrital de Economía Circular.
Contratación de consultoría para la gobernanza y la métrica de Bogotá Circular.
Desarrollo de consultoría para el diseño y desarrollo de una plataforma regional de economía circular - Convenio BID - Componente 1.
Formulación de componente 2 del convenio BID.
Participación de la SDA en la Circular Economy Week.
Ratificación de continuidad del memorando de entendimiento.
Definiciòn de proyectos prioritarios de Bogotá Circular para el 2024.
Borrador de nuevo proyecto acelerador Puntos de Economía Circular.</t>
    </r>
  </si>
  <si>
    <t>Durante la vigencia 2023 se ha avanzado en un 0,30  y por ser meta con tipologia creciente llega a un acumulado de 0.90 en lo corrido del PDD, en la implementación y seguimiento a una estrategia de crecimiento verde- EDCV, a través del diseño del plan de acción detallado para la iniciativa Bogotá Circular, la realización de un taller de gestión del conocimiento y orientación estratégica, la contratación de una consultoría para la métrica y gobernanza de Bogotá Circular,  la realización de un comité de nivel estratégico de Bogotá Circular y el diseño de una hoja de ruta para la gestión del conocimiento para temas de circularidad en la ciudad. Adicionalmente, a través del memorando de entendimiento suscrito con la Cámara de Comercio de Bogotá y con la Secretaría Distrital de Desarrollo Económico se está avanzando en la prórroga para el año 2024 y el diseño de una propuesta de fortalecimiento de los Negocios Verdes. De otra parte, se gestionó con el programa Circular City Labs de la GIZ una alianza para la formulación de un proyecto acelerador en torno a empaques y envases. Se está formulando un nuevo proyecto acelerador Puntos de Economía Circular. Adicionalmente, se avanza en el segundo producto para el diseño y desarrollo de una plataforma regional de economía circular, proyecto de cooperación con el BID. En relación con el seguimiento a los indicadores de la EDCV, durante el mes de diciembre se realizaron mesas de trabajo con la UAESP y la EAAB con el fin de gestionar los datos de las variables faltantes para el indicador de biomasa residual. Adicionalmente, se asistieron a espacios de dialogo para fortalecer el indicador de la demanda de bienes y servicios sostenibles en el marco de las labores realizadas por la SDDE y el DANE.</t>
  </si>
  <si>
    <t>CORTE A DICIEMBRE AÑO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</si>
</sst>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 #,##0;[Red]\-&quot;$&quot;\ #,##0"/>
    <numFmt numFmtId="8" formatCode="&quot;$&quot;\ #,##0.00;[Red]\-&quot;$&quot;\ #,##0.00"/>
    <numFmt numFmtId="44" formatCode="_-&quot;$&quot;\ * #,##0.00_-;\-&quot;$&quot;\ * #,##0.00_-;_-&quot;$&quot;\ * &quot;-&quot;??_-;_-@_-"/>
    <numFmt numFmtId="164" formatCode="_-* #,##0\ _€_-;\-* #,##0\ _€_-;_-* &quot;-&quot;??\ _€_-;_-@"/>
    <numFmt numFmtId="165" formatCode="_-* #,##0.00\ _€_-;\-* #,##0.00\ _€_-;_-* &quot;-&quot;??\ _€_-;_-@"/>
    <numFmt numFmtId="166" formatCode="#,##0.00_ ;\-#,##0.00\ "/>
    <numFmt numFmtId="167" formatCode="#,##0.000"/>
    <numFmt numFmtId="168" formatCode="#,##0_ ;\-#,##0\ "/>
    <numFmt numFmtId="169" formatCode="#,##0.0"/>
    <numFmt numFmtId="170" formatCode="_-* #,##0_-;\-* #,##0_-;_-* &quot;-&quot;_-;_-@"/>
    <numFmt numFmtId="171" formatCode="_-* #,##0.00_-;\-* #,##0.00_-;_-* &quot;-&quot;??_-;_-@"/>
    <numFmt numFmtId="172" formatCode="&quot;$&quot;\ #,##0.00"/>
    <numFmt numFmtId="173" formatCode="&quot;$&quot;\ #,##0"/>
    <numFmt numFmtId="174" formatCode="_-&quot;$&quot;\ * #,##0_-;\-&quot;$&quot;\ * #,##0_-;_-&quot;$&quot;\ * &quot;-&quot;_-;_-@"/>
    <numFmt numFmtId="175" formatCode="#,##0.000;\-#,##0.000"/>
    <numFmt numFmtId="176" formatCode="#,##0.0;\-#,##0.0"/>
    <numFmt numFmtId="177" formatCode="#,##0.0000"/>
    <numFmt numFmtId="178" formatCode="#,##0.0\ _€;\-#,##0.0\ _€"/>
    <numFmt numFmtId="179" formatCode="&quot;$&quot;\ #,##0.0"/>
    <numFmt numFmtId="180" formatCode="0.0%"/>
    <numFmt numFmtId="181" formatCode="_-* #,##0.00\ &quot;€&quot;_-;\-* #,##0.00\ &quot;€&quot;_-;_-* &quot;-&quot;??\ &quot;€&quot;_-;_-@"/>
    <numFmt numFmtId="182" formatCode="_-* #,##0.000_-;\-* #,##0.000_-;_-* &quot;-&quot;??_-;_-@"/>
    <numFmt numFmtId="183" formatCode="0.000"/>
    <numFmt numFmtId="184" formatCode="_-&quot;$&quot;* #,##0.00_-;\-&quot;$&quot;* #,##0.00_-;_-&quot;$&quot;* &quot;-&quot;??_-;_-@"/>
    <numFmt numFmtId="185" formatCode="&quot;$&quot;#,##0.00;[Red]\-&quot;$&quot;#,##0.00"/>
  </numFmts>
  <fonts count="59" x14ac:knownFonts="1">
    <font>
      <sz val="11"/>
      <color theme="1"/>
      <name val="Calibri"/>
      <scheme val="minor"/>
    </font>
    <font>
      <sz val="11"/>
      <color theme="1"/>
      <name val="Calibri"/>
      <family val="2"/>
    </font>
    <font>
      <sz val="24"/>
      <color theme="1"/>
      <name val="Calibri"/>
      <family val="2"/>
    </font>
    <font>
      <sz val="11"/>
      <name val="Calibri"/>
      <family val="2"/>
    </font>
    <font>
      <b/>
      <sz val="30"/>
      <color theme="1"/>
      <name val="Arial"/>
      <family val="2"/>
    </font>
    <font>
      <sz val="30"/>
      <color theme="1"/>
      <name val="Calibri"/>
      <family val="2"/>
    </font>
    <font>
      <b/>
      <sz val="20"/>
      <color theme="1"/>
      <name val="Arial"/>
      <family val="2"/>
    </font>
    <font>
      <sz val="20"/>
      <color theme="1"/>
      <name val="Calibri"/>
      <family val="2"/>
    </font>
    <font>
      <b/>
      <sz val="14"/>
      <color theme="1"/>
      <name val="Arial"/>
      <family val="2"/>
    </font>
    <font>
      <b/>
      <sz val="16"/>
      <color theme="1"/>
      <name val="Arial"/>
      <family val="2"/>
    </font>
    <font>
      <b/>
      <sz val="12"/>
      <color theme="1"/>
      <name val="Arial"/>
      <family val="2"/>
    </font>
    <font>
      <sz val="12"/>
      <color rgb="FF000000"/>
      <name val="Arial"/>
      <family val="2"/>
    </font>
    <font>
      <sz val="12"/>
      <color theme="1"/>
      <name val="Arial"/>
      <family val="2"/>
    </font>
    <font>
      <sz val="14"/>
      <color theme="1"/>
      <name val="Arial"/>
      <family val="2"/>
    </font>
    <font>
      <sz val="14"/>
      <color rgb="FF000000"/>
      <name val="Arial"/>
      <family val="2"/>
    </font>
    <font>
      <sz val="14"/>
      <color theme="1"/>
      <name val="Calibri"/>
      <family val="2"/>
    </font>
    <font>
      <sz val="11"/>
      <color theme="1"/>
      <name val="Arial"/>
      <family val="2"/>
    </font>
    <font>
      <sz val="11"/>
      <color rgb="FF000000"/>
      <name val="Calibri"/>
      <family val="2"/>
    </font>
    <font>
      <sz val="10"/>
      <color theme="1"/>
      <name val="Times New Roman"/>
      <family val="1"/>
    </font>
    <font>
      <b/>
      <sz val="12"/>
      <color rgb="FF000000"/>
      <name val="Arial"/>
      <family val="2"/>
    </font>
    <font>
      <b/>
      <sz val="14"/>
      <color theme="1"/>
      <name val="Calibri"/>
      <family val="2"/>
    </font>
    <font>
      <b/>
      <sz val="18"/>
      <color theme="1"/>
      <name val="Calibri"/>
      <family val="2"/>
    </font>
    <font>
      <b/>
      <sz val="11"/>
      <color theme="1"/>
      <name val="Calibri"/>
      <family val="2"/>
    </font>
    <font>
      <b/>
      <sz val="20"/>
      <color theme="1"/>
      <name val="Calibri"/>
      <family val="2"/>
    </font>
    <font>
      <sz val="12"/>
      <color theme="1"/>
      <name val="Calibri"/>
      <family val="2"/>
    </font>
    <font>
      <sz val="30"/>
      <color theme="1"/>
      <name val="Arial"/>
      <family val="2"/>
    </font>
    <font>
      <sz val="10"/>
      <color theme="1"/>
      <name val="Arial"/>
      <family val="2"/>
    </font>
    <font>
      <sz val="8"/>
      <color theme="1"/>
      <name val="Arial"/>
      <family val="2"/>
    </font>
    <font>
      <b/>
      <sz val="11"/>
      <color theme="1"/>
      <name val="Arial"/>
      <family val="2"/>
    </font>
    <font>
      <sz val="9"/>
      <color theme="1"/>
      <name val="Arial"/>
      <family val="2"/>
    </font>
    <font>
      <sz val="9"/>
      <color rgb="FF000000"/>
      <name val="Arial"/>
      <family val="2"/>
    </font>
    <font>
      <b/>
      <sz val="14"/>
      <color theme="0"/>
      <name val="Calibri"/>
      <family val="2"/>
    </font>
    <font>
      <b/>
      <sz val="22"/>
      <color theme="1"/>
      <name val="Arial"/>
      <family val="2"/>
    </font>
    <font>
      <sz val="22"/>
      <color theme="1"/>
      <name val="Arial"/>
      <family val="2"/>
    </font>
    <font>
      <b/>
      <sz val="10"/>
      <color theme="1"/>
      <name val="Arial"/>
      <family val="2"/>
    </font>
    <font>
      <b/>
      <sz val="8"/>
      <color theme="1"/>
      <name val="Arial"/>
      <family val="2"/>
    </font>
    <font>
      <sz val="9"/>
      <color theme="1"/>
      <name val="Calibri"/>
      <family val="2"/>
    </font>
    <font>
      <u/>
      <sz val="9"/>
      <color theme="1"/>
      <name val="Arial"/>
      <family val="2"/>
    </font>
    <font>
      <b/>
      <sz val="14"/>
      <color rgb="FF000000"/>
      <name val="Arial"/>
      <family val="2"/>
    </font>
    <font>
      <b/>
      <u/>
      <sz val="10"/>
      <color theme="1"/>
      <name val="Arial"/>
      <family val="2"/>
    </font>
    <font>
      <sz val="10"/>
      <color theme="1"/>
      <name val="Calibri"/>
      <family val="2"/>
    </font>
    <font>
      <sz val="7"/>
      <color theme="1"/>
      <name val="Arial"/>
      <family val="2"/>
    </font>
    <font>
      <sz val="8"/>
      <color theme="1"/>
      <name val="Calibri"/>
      <family val="2"/>
    </font>
    <font>
      <b/>
      <sz val="9"/>
      <color rgb="FFFF0000"/>
      <name val="Arial"/>
      <family val="2"/>
    </font>
    <font>
      <b/>
      <sz val="9"/>
      <color theme="1"/>
      <name val="Arial"/>
      <family val="2"/>
    </font>
    <font>
      <b/>
      <sz val="8"/>
      <color theme="1"/>
      <name val="Calibri"/>
      <family val="2"/>
    </font>
    <font>
      <u/>
      <sz val="11"/>
      <color theme="10"/>
      <name val="Calibri"/>
      <family val="2"/>
    </font>
    <font>
      <u/>
      <sz val="11"/>
      <color theme="4"/>
      <name val="Calibri"/>
      <family val="2"/>
    </font>
    <font>
      <u/>
      <sz val="11"/>
      <color rgb="FF0000FF"/>
      <name val="Calibri"/>
      <family val="2"/>
    </font>
    <font>
      <sz val="10"/>
      <color rgb="FFFF0000"/>
      <name val="Arial"/>
      <family val="2"/>
    </font>
    <font>
      <b/>
      <sz val="24"/>
      <color theme="1"/>
      <name val="Arial"/>
      <family val="2"/>
    </font>
    <font>
      <sz val="11"/>
      <color theme="1"/>
      <name val="Calibri"/>
      <family val="2"/>
      <scheme val="minor"/>
    </font>
    <font>
      <sz val="11"/>
      <color theme="1"/>
      <name val="Arial Narrow"/>
      <family val="2"/>
    </font>
    <font>
      <sz val="11"/>
      <color theme="0"/>
      <name val="Calibri"/>
      <family val="2"/>
    </font>
    <font>
      <sz val="11"/>
      <color rgb="FFFF0000"/>
      <name val="Calibri"/>
      <family val="2"/>
    </font>
    <font>
      <u/>
      <sz val="11"/>
      <color theme="1"/>
      <name val="Calibri"/>
      <family val="2"/>
    </font>
    <font>
      <b/>
      <sz val="20"/>
      <color rgb="FFFF0000"/>
      <name val="Arial"/>
      <family val="2"/>
    </font>
    <font>
      <sz val="11"/>
      <color theme="1"/>
      <name val="Calibri"/>
      <family val="2"/>
      <scheme val="minor"/>
    </font>
    <font>
      <sz val="11"/>
      <color theme="1"/>
      <name val="Calibri"/>
      <scheme val="minor"/>
    </font>
  </fonts>
  <fills count="16">
    <fill>
      <patternFill patternType="none"/>
    </fill>
    <fill>
      <patternFill patternType="gray125"/>
    </fill>
    <fill>
      <patternFill patternType="solid">
        <fgColor theme="0"/>
        <bgColor theme="0"/>
      </patternFill>
    </fill>
    <fill>
      <patternFill patternType="solid">
        <fgColor rgb="FF66FFFF"/>
        <bgColor rgb="FF66FFFF"/>
      </patternFill>
    </fill>
    <fill>
      <patternFill patternType="solid">
        <fgColor rgb="FF92D050"/>
        <bgColor rgb="FF92D050"/>
      </patternFill>
    </fill>
    <fill>
      <patternFill patternType="solid">
        <fgColor rgb="FF00B050"/>
        <bgColor rgb="FF00B050"/>
      </patternFill>
    </fill>
    <fill>
      <patternFill patternType="solid">
        <fgColor rgb="FF76923C"/>
        <bgColor rgb="FF76923C"/>
      </patternFill>
    </fill>
    <fill>
      <patternFill patternType="solid">
        <fgColor rgb="FF669900"/>
        <bgColor rgb="FF669900"/>
      </patternFill>
    </fill>
    <fill>
      <patternFill patternType="solid">
        <fgColor rgb="FFEAF1DD"/>
        <bgColor rgb="FFEAF1DD"/>
      </patternFill>
    </fill>
    <fill>
      <patternFill patternType="solid">
        <fgColor rgb="FFD6E3BC"/>
        <bgColor rgb="FFD6E3BC"/>
      </patternFill>
    </fill>
    <fill>
      <patternFill patternType="solid">
        <fgColor rgb="FFD8D8D8"/>
        <bgColor rgb="FFD8D8D8"/>
      </patternFill>
    </fill>
    <fill>
      <patternFill patternType="solid">
        <fgColor rgb="FFFFFFFF"/>
        <bgColor rgb="FFFFFFFF"/>
      </patternFill>
    </fill>
    <fill>
      <patternFill patternType="solid">
        <fgColor rgb="FF9999FF"/>
        <bgColor rgb="FF9999FF"/>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s>
  <borders count="154">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medium">
        <color rgb="FF000000"/>
      </left>
      <right/>
      <top/>
      <bottom/>
      <diagonal/>
    </border>
    <border>
      <left/>
      <right/>
      <top/>
      <bottom/>
      <diagonal/>
    </border>
    <border>
      <left/>
      <right/>
      <top/>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right/>
      <top/>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bottom style="medium">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diagonal/>
    </border>
    <border>
      <left/>
      <right/>
      <top/>
      <bottom/>
      <diagonal/>
    </border>
    <border>
      <left/>
      <right style="medium">
        <color rgb="FF000000"/>
      </right>
      <top/>
      <bottom/>
      <diagonal/>
    </border>
    <border>
      <left/>
      <right/>
      <top style="thin">
        <color rgb="FF000000"/>
      </top>
      <bottom style="medium">
        <color rgb="FF000000"/>
      </bottom>
      <diagonal/>
    </border>
    <border>
      <left style="thin">
        <color rgb="FF000000"/>
      </left>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bottom style="medium">
        <color rgb="FF000000"/>
      </bottom>
      <diagonal/>
    </border>
    <border>
      <left style="medium">
        <color rgb="FF000000"/>
      </left>
      <right/>
      <top style="thin">
        <color rgb="FF000000"/>
      </top>
      <bottom/>
      <diagonal/>
    </border>
    <border>
      <left/>
      <right style="thin">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right style="thin">
        <color rgb="FF000000"/>
      </right>
      <top style="medium">
        <color rgb="FF000000"/>
      </top>
      <bottom/>
      <diagonal/>
    </border>
    <border>
      <left/>
      <right/>
      <top style="medium">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right/>
      <top style="medium">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3">
    <xf numFmtId="0" fontId="0" fillId="0" borderId="0"/>
    <xf numFmtId="44" fontId="57" fillId="0" borderId="0" applyFont="0" applyFill="0" applyBorder="0" applyAlignment="0" applyProtection="0"/>
    <xf numFmtId="0" fontId="58" fillId="0" borderId="107"/>
  </cellStyleXfs>
  <cellXfs count="981">
    <xf numFmtId="0" fontId="0" fillId="0" borderId="0" xfId="0"/>
    <xf numFmtId="0" fontId="1" fillId="2" borderId="1" xfId="0" applyFont="1" applyFill="1" applyBorder="1"/>
    <xf numFmtId="0" fontId="1" fillId="2" borderId="1" xfId="0" applyFont="1" applyFill="1" applyBorder="1" applyAlignment="1">
      <alignment horizontal="center"/>
    </xf>
    <xf numFmtId="0" fontId="1" fillId="0" borderId="0" xfId="0" applyFont="1" applyAlignment="1">
      <alignment horizontal="center"/>
    </xf>
    <xf numFmtId="0" fontId="1" fillId="3" borderId="1" xfId="0" applyFont="1" applyFill="1" applyBorder="1" applyAlignment="1">
      <alignment horizontal="center"/>
    </xf>
    <xf numFmtId="0" fontId="2" fillId="0" borderId="0" xfId="0" applyFont="1"/>
    <xf numFmtId="0" fontId="7" fillId="0" borderId="0" xfId="0" applyFont="1"/>
    <xf numFmtId="0" fontId="8" fillId="0" borderId="8" xfId="0"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0" borderId="0" xfId="0" applyFont="1"/>
    <xf numFmtId="0" fontId="12" fillId="4" borderId="30" xfId="0" applyFont="1" applyFill="1" applyBorder="1" applyAlignment="1">
      <alignment vertical="center" wrapText="1"/>
    </xf>
    <xf numFmtId="0" fontId="12" fillId="4" borderId="31" xfId="0" applyFont="1" applyFill="1" applyBorder="1" applyAlignment="1">
      <alignment vertical="center" wrapText="1"/>
    </xf>
    <xf numFmtId="0" fontId="12"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8" borderId="31"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0" fillId="6" borderId="35" xfId="0" applyFont="1" applyFill="1" applyBorder="1" applyAlignment="1">
      <alignment horizontal="center" vertical="center" wrapText="1"/>
    </xf>
    <xf numFmtId="0" fontId="10" fillId="9" borderId="36"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0" fillId="9" borderId="35"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0" fillId="9" borderId="37"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10" fillId="9" borderId="34"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 fillId="0" borderId="43" xfId="0" applyFont="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3" fillId="0" borderId="0" xfId="0" applyFont="1" applyAlignment="1">
      <alignment horizontal="center" vertical="top" wrapText="1"/>
    </xf>
    <xf numFmtId="0" fontId="11" fillId="0" borderId="0" xfId="0" applyFont="1" applyAlignment="1">
      <alignment vertical="center"/>
    </xf>
    <xf numFmtId="0" fontId="11" fillId="0" borderId="0" xfId="0" applyFont="1" applyAlignment="1">
      <alignment horizontal="left" vertical="top" wrapText="1"/>
    </xf>
    <xf numFmtId="0" fontId="18" fillId="0" borderId="0" xfId="0" applyFont="1" applyAlignment="1">
      <alignment horizontal="center" vertical="center"/>
    </xf>
    <xf numFmtId="164" fontId="11" fillId="0" borderId="0" xfId="0" applyNumberFormat="1" applyFont="1" applyAlignment="1">
      <alignment horizontal="center" vertical="center"/>
    </xf>
    <xf numFmtId="2" fontId="11" fillId="0" borderId="0" xfId="0" applyNumberFormat="1" applyFont="1" applyAlignment="1">
      <alignment horizontal="center" vertical="center"/>
    </xf>
    <xf numFmtId="0" fontId="11" fillId="2" borderId="1" xfId="0" applyFont="1" applyFill="1" applyBorder="1" applyAlignment="1">
      <alignment horizontal="center" vertical="center"/>
    </xf>
    <xf numFmtId="169" fontId="13" fillId="0" borderId="0" xfId="0" applyNumberFormat="1" applyFont="1" applyAlignment="1">
      <alignment horizontal="center" vertical="center" wrapText="1"/>
    </xf>
    <xf numFmtId="2" fontId="19" fillId="2" borderId="1" xfId="0" applyNumberFormat="1" applyFont="1" applyFill="1" applyBorder="1" applyAlignment="1">
      <alignment horizontal="center" vertical="center"/>
    </xf>
    <xf numFmtId="2" fontId="11" fillId="2" borderId="1" xfId="0" applyNumberFormat="1" applyFont="1" applyFill="1" applyBorder="1" applyAlignment="1">
      <alignment horizontal="center" vertical="center"/>
    </xf>
    <xf numFmtId="0" fontId="14" fillId="0" borderId="0" xfId="0" applyFont="1" applyAlignment="1">
      <alignment horizontal="center" vertical="center"/>
    </xf>
    <xf numFmtId="37" fontId="11" fillId="0" borderId="0" xfId="0" applyNumberFormat="1" applyFont="1" applyAlignment="1">
      <alignment horizontal="center" vertical="center"/>
    </xf>
    <xf numFmtId="9" fontId="20" fillId="0" borderId="0" xfId="0" applyNumberFormat="1" applyFont="1" applyAlignment="1">
      <alignment horizontal="center" vertical="center"/>
    </xf>
    <xf numFmtId="10" fontId="20" fillId="0" borderId="0" xfId="0" applyNumberFormat="1" applyFont="1" applyAlignment="1">
      <alignment horizontal="center" vertical="center" wrapText="1"/>
    </xf>
    <xf numFmtId="10" fontId="21" fillId="0" borderId="0" xfId="0" applyNumberFormat="1" applyFont="1" applyAlignment="1">
      <alignment horizontal="center" vertical="center" wrapText="1"/>
    </xf>
    <xf numFmtId="0" fontId="11" fillId="0" borderId="0" xfId="0" applyFont="1" applyAlignment="1">
      <alignment vertical="center" wrapText="1"/>
    </xf>
    <xf numFmtId="0" fontId="1" fillId="2" borderId="1" xfId="0" applyFont="1" applyFill="1" applyBorder="1" applyAlignment="1">
      <alignment horizontal="center" vertical="center" wrapText="1"/>
    </xf>
    <xf numFmtId="0" fontId="17" fillId="0" borderId="0" xfId="0" applyFont="1" applyAlignment="1">
      <alignment horizontal="left" vertical="top" wrapText="1"/>
    </xf>
    <xf numFmtId="0" fontId="17" fillId="0" borderId="0" xfId="0" applyFont="1" applyAlignment="1">
      <alignment horizontal="center" vertical="center" wrapText="1"/>
    </xf>
    <xf numFmtId="0" fontId="22" fillId="2" borderId="1" xfId="0" applyFont="1" applyFill="1" applyBorder="1"/>
    <xf numFmtId="170" fontId="1" fillId="0" borderId="0" xfId="0" applyNumberFormat="1" applyFont="1" applyAlignment="1">
      <alignment horizontal="center"/>
    </xf>
    <xf numFmtId="2" fontId="1" fillId="0" borderId="0" xfId="0" applyNumberFormat="1" applyFont="1" applyAlignment="1">
      <alignment horizontal="center"/>
    </xf>
    <xf numFmtId="171" fontId="23" fillId="0" borderId="0" xfId="0" applyNumberFormat="1" applyFont="1"/>
    <xf numFmtId="171" fontId="1" fillId="2" borderId="1" xfId="0" applyNumberFormat="1" applyFont="1" applyFill="1" applyBorder="1" applyAlignment="1">
      <alignment horizontal="center"/>
    </xf>
    <xf numFmtId="171" fontId="1" fillId="0" borderId="0" xfId="0" applyNumberFormat="1" applyFont="1" applyAlignment="1">
      <alignment horizontal="center"/>
    </xf>
    <xf numFmtId="37" fontId="1" fillId="0" borderId="0" xfId="0" applyNumberFormat="1" applyFont="1" applyAlignment="1">
      <alignment horizontal="center"/>
    </xf>
    <xf numFmtId="0" fontId="24" fillId="2" borderId="1" xfId="0" applyFont="1" applyFill="1" applyBorder="1" applyAlignment="1">
      <alignment vertical="top" wrapText="1"/>
    </xf>
    <xf numFmtId="0" fontId="22" fillId="10" borderId="43" xfId="0" applyFont="1" applyFill="1" applyBorder="1" applyAlignment="1">
      <alignment horizontal="center" vertical="center"/>
    </xf>
    <xf numFmtId="0" fontId="1" fillId="0" borderId="43" xfId="0" applyFont="1" applyBorder="1" applyAlignment="1">
      <alignment horizontal="center" vertical="center"/>
    </xf>
    <xf numFmtId="0" fontId="2" fillId="2" borderId="1" xfId="0" applyFont="1" applyFill="1" applyBorder="1"/>
    <xf numFmtId="0" fontId="7" fillId="2" borderId="1" xfId="0" applyFont="1" applyFill="1" applyBorder="1"/>
    <xf numFmtId="0" fontId="26" fillId="2" borderId="1" xfId="0" applyFont="1" applyFill="1" applyBorder="1"/>
    <xf numFmtId="0" fontId="27" fillId="2" borderId="1" xfId="0" applyFont="1" applyFill="1" applyBorder="1"/>
    <xf numFmtId="0" fontId="12" fillId="2" borderId="1" xfId="0" applyFont="1" applyFill="1" applyBorder="1" applyAlignment="1">
      <alignment horizontal="center"/>
    </xf>
    <xf numFmtId="0" fontId="10" fillId="2" borderId="1" xfId="0" applyFont="1" applyFill="1" applyBorder="1" applyAlignment="1">
      <alignment horizontal="center"/>
    </xf>
    <xf numFmtId="0" fontId="12" fillId="0" borderId="0" xfId="0" applyFont="1" applyAlignment="1">
      <alignment horizontal="center"/>
    </xf>
    <xf numFmtId="164" fontId="1" fillId="2" borderId="1" xfId="0" applyNumberFormat="1" applyFont="1" applyFill="1" applyBorder="1" applyAlignment="1">
      <alignment horizontal="center"/>
    </xf>
    <xf numFmtId="0" fontId="16" fillId="4" borderId="63" xfId="0" applyFont="1" applyFill="1" applyBorder="1" applyAlignment="1">
      <alignment horizontal="center" vertical="center" wrapText="1"/>
    </xf>
    <xf numFmtId="0" fontId="16" fillId="4" borderId="64" xfId="0" applyFont="1" applyFill="1" applyBorder="1" applyAlignment="1">
      <alignment horizontal="center" vertical="center" wrapText="1"/>
    </xf>
    <xf numFmtId="0" fontId="28" fillId="4" borderId="65"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29" fillId="4" borderId="67" xfId="0" applyFont="1" applyFill="1" applyBorder="1" applyAlignment="1">
      <alignment horizontal="left" vertical="center" wrapText="1"/>
    </xf>
    <xf numFmtId="9" fontId="1" fillId="0" borderId="43" xfId="0" applyNumberFormat="1" applyFont="1" applyBorder="1" applyAlignment="1">
      <alignment horizontal="center" vertical="center"/>
    </xf>
    <xf numFmtId="0" fontId="1" fillId="2" borderId="1" xfId="0" applyFont="1" applyFill="1" applyBorder="1" applyAlignment="1">
      <alignment horizontal="center" vertical="center"/>
    </xf>
    <xf numFmtId="172" fontId="29" fillId="5" borderId="68" xfId="0" applyNumberFormat="1" applyFont="1" applyFill="1" applyBorder="1" applyAlignment="1">
      <alignment horizontal="center" vertical="center" wrapText="1"/>
    </xf>
    <xf numFmtId="172" fontId="1" fillId="2" borderId="1" xfId="0" applyNumberFormat="1" applyFont="1" applyFill="1" applyBorder="1" applyAlignment="1">
      <alignment horizontal="center" vertical="center"/>
    </xf>
    <xf numFmtId="172" fontId="26" fillId="6" borderId="68" xfId="0" applyNumberFormat="1" applyFont="1" applyFill="1" applyBorder="1" applyAlignment="1">
      <alignment horizontal="center" vertical="center" wrapText="1"/>
    </xf>
    <xf numFmtId="0" fontId="29" fillId="4" borderId="68" xfId="0" applyFont="1" applyFill="1" applyBorder="1" applyAlignment="1">
      <alignment horizontal="left" vertical="center" wrapText="1"/>
    </xf>
    <xf numFmtId="172" fontId="29" fillId="5" borderId="68" xfId="0" applyNumberFormat="1" applyFont="1" applyFill="1" applyBorder="1" applyAlignment="1">
      <alignment horizontal="left" vertical="center" wrapText="1"/>
    </xf>
    <xf numFmtId="172" fontId="29" fillId="5" borderId="69" xfId="0" applyNumberFormat="1" applyFont="1" applyFill="1" applyBorder="1" applyAlignment="1">
      <alignment horizontal="left" vertical="center" wrapText="1"/>
    </xf>
    <xf numFmtId="173" fontId="1" fillId="2" borderId="1" xfId="0" applyNumberFormat="1" applyFont="1" applyFill="1" applyBorder="1" applyAlignment="1">
      <alignment horizontal="center"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169" fontId="1" fillId="0" borderId="0" xfId="0" applyNumberFormat="1" applyFont="1" applyAlignment="1">
      <alignment horizontal="center" vertical="center"/>
    </xf>
    <xf numFmtId="173" fontId="22" fillId="0" borderId="0" xfId="0" applyNumberFormat="1" applyFont="1" applyAlignment="1">
      <alignment horizontal="center" vertical="center"/>
    </xf>
    <xf numFmtId="172" fontId="22" fillId="2" borderId="1" xfId="0" applyNumberFormat="1" applyFont="1" applyFill="1" applyBorder="1" applyAlignment="1">
      <alignment horizontal="center" vertical="center"/>
    </xf>
    <xf numFmtId="173" fontId="22" fillId="2" borderId="1" xfId="0" applyNumberFormat="1" applyFont="1" applyFill="1" applyBorder="1" applyAlignment="1">
      <alignment horizontal="center" vertical="center"/>
    </xf>
    <xf numFmtId="172" fontId="1" fillId="0" borderId="0" xfId="0" applyNumberFormat="1" applyFont="1" applyAlignment="1">
      <alignment horizontal="center" vertical="center"/>
    </xf>
    <xf numFmtId="172" fontId="22" fillId="0" borderId="0" xfId="0" applyNumberFormat="1" applyFont="1" applyAlignment="1">
      <alignment horizontal="center" vertical="center"/>
    </xf>
    <xf numFmtId="173" fontId="1" fillId="0" borderId="0" xfId="0" applyNumberFormat="1" applyFont="1" applyAlignment="1">
      <alignment horizontal="center" vertical="center"/>
    </xf>
    <xf numFmtId="172" fontId="29" fillId="4" borderId="75" xfId="0" applyNumberFormat="1" applyFont="1" applyFill="1" applyBorder="1" applyAlignment="1">
      <alignment horizontal="center" vertical="top" wrapText="1"/>
    </xf>
    <xf numFmtId="172" fontId="1" fillId="2" borderId="1" xfId="0" applyNumberFormat="1" applyFont="1" applyFill="1" applyBorder="1" applyAlignment="1">
      <alignment horizontal="center"/>
    </xf>
    <xf numFmtId="172" fontId="1" fillId="0" borderId="0" xfId="0" applyNumberFormat="1" applyFont="1" applyAlignment="1">
      <alignment horizontal="center"/>
    </xf>
    <xf numFmtId="172" fontId="29" fillId="5" borderId="81" xfId="0" applyNumberFormat="1" applyFont="1" applyFill="1" applyBorder="1" applyAlignment="1">
      <alignment horizontal="center" vertical="top" wrapText="1"/>
    </xf>
    <xf numFmtId="172" fontId="29" fillId="4" borderId="86" xfId="0" applyNumberFormat="1" applyFont="1" applyFill="1" applyBorder="1" applyAlignment="1">
      <alignment horizontal="center" vertical="top" wrapText="1"/>
    </xf>
    <xf numFmtId="0" fontId="26" fillId="0" borderId="0" xfId="0" applyFont="1"/>
    <xf numFmtId="0" fontId="27" fillId="0" borderId="0" xfId="0" applyFont="1"/>
    <xf numFmtId="174" fontId="12" fillId="0" borderId="0" xfId="0" applyNumberFormat="1" applyFont="1" applyAlignment="1">
      <alignment horizontal="center"/>
    </xf>
    <xf numFmtId="174" fontId="10" fillId="0" borderId="0" xfId="0" applyNumberFormat="1" applyFont="1" applyAlignment="1">
      <alignment horizontal="center"/>
    </xf>
    <xf numFmtId="172" fontId="1" fillId="0" borderId="0" xfId="0" applyNumberFormat="1" applyFont="1"/>
    <xf numFmtId="174" fontId="12" fillId="2" borderId="1" xfId="0" applyNumberFormat="1" applyFont="1" applyFill="1" applyBorder="1" applyAlignment="1">
      <alignment horizontal="center"/>
    </xf>
    <xf numFmtId="172" fontId="12" fillId="0" borderId="0" xfId="0" applyNumberFormat="1" applyFont="1" applyAlignment="1">
      <alignment horizontal="center"/>
    </xf>
    <xf numFmtId="10" fontId="12" fillId="0" borderId="0" xfId="0" applyNumberFormat="1" applyFont="1" applyAlignment="1">
      <alignment horizontal="center"/>
    </xf>
    <xf numFmtId="172" fontId="12" fillId="2" borderId="1" xfId="0" applyNumberFormat="1" applyFont="1" applyFill="1" applyBorder="1" applyAlignment="1">
      <alignment horizontal="center"/>
    </xf>
    <xf numFmtId="172" fontId="1" fillId="2" borderId="1" xfId="0" applyNumberFormat="1" applyFont="1" applyFill="1" applyBorder="1"/>
    <xf numFmtId="4" fontId="1" fillId="0" borderId="0" xfId="0" applyNumberFormat="1" applyFont="1"/>
    <xf numFmtId="0" fontId="10" fillId="0" borderId="0" xfId="0" applyFont="1" applyAlignment="1">
      <alignment horizontal="center"/>
    </xf>
    <xf numFmtId="172" fontId="30" fillId="2" borderId="1" xfId="0" applyNumberFormat="1" applyFont="1" applyFill="1" applyBorder="1" applyAlignment="1">
      <alignment horizontal="center" vertical="center"/>
    </xf>
    <xf numFmtId="165" fontId="12" fillId="0" borderId="0" xfId="0" applyNumberFormat="1" applyFont="1" applyAlignment="1">
      <alignment horizontal="center"/>
    </xf>
    <xf numFmtId="165" fontId="12" fillId="2" borderId="1" xfId="0" applyNumberFormat="1" applyFont="1" applyFill="1" applyBorder="1" applyAlignment="1">
      <alignment horizontal="center"/>
    </xf>
    <xf numFmtId="3" fontId="12" fillId="0" borderId="0" xfId="0" applyNumberFormat="1" applyFont="1" applyAlignment="1">
      <alignment horizontal="center"/>
    </xf>
    <xf numFmtId="8" fontId="12" fillId="2" borderId="1" xfId="0" applyNumberFormat="1" applyFont="1" applyFill="1" applyBorder="1" applyAlignment="1">
      <alignment horizontal="center"/>
    </xf>
    <xf numFmtId="173" fontId="12" fillId="0" borderId="0" xfId="0" applyNumberFormat="1" applyFont="1" applyAlignment="1">
      <alignment horizontal="center"/>
    </xf>
    <xf numFmtId="171" fontId="12" fillId="0" borderId="0" xfId="0" applyNumberFormat="1" applyFont="1" applyAlignment="1">
      <alignment horizontal="center"/>
    </xf>
    <xf numFmtId="171" fontId="12" fillId="2" borderId="1" xfId="0" applyNumberFormat="1" applyFont="1" applyFill="1" applyBorder="1" applyAlignment="1">
      <alignment horizontal="center"/>
    </xf>
    <xf numFmtId="0" fontId="20" fillId="0" borderId="0" xfId="0" applyFont="1" applyAlignment="1">
      <alignment horizontal="center" vertical="center" wrapText="1"/>
    </xf>
    <xf numFmtId="165" fontId="20" fillId="0" borderId="0" xfId="0" applyNumberFormat="1" applyFont="1" applyAlignment="1">
      <alignment horizontal="center" vertical="center" wrapText="1"/>
    </xf>
    <xf numFmtId="165" fontId="1" fillId="0" borderId="0" xfId="0" applyNumberFormat="1" applyFont="1"/>
    <xf numFmtId="9" fontId="1" fillId="0" borderId="0" xfId="0" applyNumberFormat="1" applyFont="1"/>
    <xf numFmtId="165" fontId="1" fillId="2" borderId="1" xfId="0" applyNumberFormat="1" applyFont="1" applyFill="1" applyBorder="1"/>
    <xf numFmtId="0" fontId="22" fillId="0" borderId="0" xfId="0" applyFont="1"/>
    <xf numFmtId="165" fontId="22" fillId="0" borderId="0" xfId="0" applyNumberFormat="1" applyFont="1"/>
    <xf numFmtId="9" fontId="22" fillId="0" borderId="0" xfId="0" applyNumberFormat="1" applyFont="1"/>
    <xf numFmtId="165" fontId="22" fillId="2" borderId="1" xfId="0" applyNumberFormat="1" applyFont="1" applyFill="1" applyBorder="1"/>
    <xf numFmtId="0" fontId="26" fillId="0" borderId="0" xfId="0" applyFont="1" applyAlignment="1">
      <alignment vertical="center"/>
    </xf>
    <xf numFmtId="0" fontId="6" fillId="0" borderId="88" xfId="0" applyFont="1" applyBorder="1" applyAlignment="1">
      <alignment horizontal="center" vertical="top" wrapText="1"/>
    </xf>
    <xf numFmtId="0" fontId="26" fillId="11" borderId="1" xfId="0" applyFont="1" applyFill="1" applyBorder="1" applyAlignment="1">
      <alignment vertical="center"/>
    </xf>
    <xf numFmtId="0" fontId="35" fillId="4" borderId="98" xfId="0" applyFont="1" applyFill="1" applyBorder="1" applyAlignment="1">
      <alignment horizontal="center" vertical="center" textRotation="90" wrapText="1"/>
    </xf>
    <xf numFmtId="0" fontId="35" fillId="4" borderId="46" xfId="0" applyFont="1" applyFill="1" applyBorder="1" applyAlignment="1">
      <alignment horizontal="center" vertical="center" textRotation="90" wrapText="1"/>
    </xf>
    <xf numFmtId="0" fontId="34" fillId="4" borderId="46" xfId="0" applyFont="1" applyFill="1" applyBorder="1" applyAlignment="1">
      <alignment horizontal="center" vertical="center" wrapText="1"/>
    </xf>
    <xf numFmtId="0" fontId="34" fillId="4" borderId="98" xfId="0" applyFont="1" applyFill="1" applyBorder="1" applyAlignment="1">
      <alignment horizontal="center" vertical="center" wrapText="1"/>
    </xf>
    <xf numFmtId="180" fontId="36" fillId="4" borderId="44" xfId="0" applyNumberFormat="1" applyFont="1" applyFill="1" applyBorder="1" applyAlignment="1">
      <alignment vertical="center"/>
    </xf>
    <xf numFmtId="0" fontId="29" fillId="2" borderId="1" xfId="0" applyFont="1" applyFill="1" applyBorder="1" applyAlignment="1">
      <alignment vertical="center"/>
    </xf>
    <xf numFmtId="180" fontId="36" fillId="5" borderId="43" xfId="0" applyNumberFormat="1" applyFont="1" applyFill="1" applyBorder="1" applyAlignment="1">
      <alignment vertical="center"/>
    </xf>
    <xf numFmtId="10" fontId="36" fillId="5" borderId="43" xfId="0" applyNumberFormat="1" applyFont="1" applyFill="1" applyBorder="1" applyAlignment="1">
      <alignment vertical="center"/>
    </xf>
    <xf numFmtId="0" fontId="29" fillId="11" borderId="1" xfId="0" applyFont="1" applyFill="1" applyBorder="1" applyAlignment="1">
      <alignment vertical="center"/>
    </xf>
    <xf numFmtId="10" fontId="29" fillId="11" borderId="1" xfId="0" applyNumberFormat="1" applyFont="1" applyFill="1" applyBorder="1" applyAlignment="1">
      <alignment vertical="center"/>
    </xf>
    <xf numFmtId="180" fontId="36" fillId="4" borderId="43" xfId="0" applyNumberFormat="1" applyFont="1" applyFill="1" applyBorder="1" applyAlignment="1">
      <alignment vertical="center"/>
    </xf>
    <xf numFmtId="180" fontId="36" fillId="5" borderId="98" xfId="0" applyNumberFormat="1" applyFont="1" applyFill="1" applyBorder="1" applyAlignment="1">
      <alignment vertical="center"/>
    </xf>
    <xf numFmtId="0" fontId="29" fillId="0" borderId="0" xfId="0" applyFont="1" applyAlignment="1">
      <alignment vertical="center"/>
    </xf>
    <xf numFmtId="10" fontId="34" fillId="4" borderId="104" xfId="0" applyNumberFormat="1" applyFont="1" applyFill="1" applyBorder="1" applyAlignment="1">
      <alignment horizontal="center" vertical="center" wrapText="1"/>
    </xf>
    <xf numFmtId="0" fontId="34" fillId="4" borderId="105" xfId="0" applyFont="1" applyFill="1" applyBorder="1" applyAlignment="1">
      <alignment horizontal="left" vertical="center" wrapText="1"/>
    </xf>
    <xf numFmtId="0" fontId="27" fillId="11" borderId="1" xfId="0" applyFont="1" applyFill="1" applyBorder="1" applyAlignment="1">
      <alignment vertical="center"/>
    </xf>
    <xf numFmtId="0" fontId="27" fillId="0" borderId="0" xfId="0" applyFont="1" applyAlignment="1">
      <alignment vertical="center"/>
    </xf>
    <xf numFmtId="0" fontId="26" fillId="2" borderId="1" xfId="0" applyFont="1" applyFill="1" applyBorder="1" applyAlignment="1">
      <alignment horizontal="left" vertical="center"/>
    </xf>
    <xf numFmtId="0" fontId="26" fillId="2" borderId="1" xfId="0" applyFont="1" applyFill="1" applyBorder="1" applyAlignment="1">
      <alignment vertical="center"/>
    </xf>
    <xf numFmtId="10" fontId="26" fillId="2" borderId="1" xfId="0" applyNumberFormat="1" applyFont="1" applyFill="1" applyBorder="1" applyAlignment="1">
      <alignment vertical="center"/>
    </xf>
    <xf numFmtId="10" fontId="16" fillId="0" borderId="0" xfId="0" applyNumberFormat="1" applyFont="1" applyAlignment="1">
      <alignment vertical="center"/>
    </xf>
    <xf numFmtId="10" fontId="26" fillId="0" borderId="0" xfId="0" applyNumberFormat="1" applyFont="1" applyAlignment="1">
      <alignment vertical="center"/>
    </xf>
    <xf numFmtId="0" fontId="26" fillId="0" borderId="0" xfId="0" applyFont="1" applyAlignment="1">
      <alignment vertical="top"/>
    </xf>
    <xf numFmtId="0" fontId="1" fillId="2" borderId="43" xfId="0" applyFont="1" applyFill="1" applyBorder="1"/>
    <xf numFmtId="0" fontId="1" fillId="0" borderId="43" xfId="0" applyFont="1" applyBorder="1"/>
    <xf numFmtId="0" fontId="1" fillId="0" borderId="0" xfId="0" applyFont="1"/>
    <xf numFmtId="0" fontId="1" fillId="2" borderId="43" xfId="0" applyFont="1" applyFill="1" applyBorder="1" applyAlignment="1">
      <alignment horizontal="center" vertical="center"/>
    </xf>
    <xf numFmtId="0" fontId="1" fillId="0" borderId="0" xfId="0" applyFont="1" applyAlignment="1">
      <alignment horizontal="center" wrapText="1"/>
    </xf>
    <xf numFmtId="0" fontId="1" fillId="0" borderId="0" xfId="0" applyFont="1" applyAlignment="1">
      <alignment wrapText="1"/>
    </xf>
    <xf numFmtId="0" fontId="34" fillId="5" borderId="76" xfId="0" applyFont="1" applyFill="1" applyBorder="1" applyAlignment="1">
      <alignment horizontal="center" vertical="center"/>
    </xf>
    <xf numFmtId="0" fontId="34" fillId="4" borderId="43" xfId="0" applyFont="1" applyFill="1" applyBorder="1" applyAlignment="1">
      <alignment horizontal="center" vertical="center" wrapText="1"/>
    </xf>
    <xf numFmtId="0" fontId="34" fillId="4" borderId="82" xfId="0" applyFont="1" applyFill="1" applyBorder="1" applyAlignment="1">
      <alignment horizontal="center" vertical="center" wrapText="1"/>
    </xf>
    <xf numFmtId="0" fontId="16" fillId="0" borderId="76" xfId="0" applyFont="1" applyBorder="1"/>
    <xf numFmtId="0" fontId="1" fillId="0" borderId="43" xfId="0" applyFont="1" applyBorder="1" applyAlignment="1">
      <alignment horizontal="center" wrapText="1"/>
    </xf>
    <xf numFmtId="0" fontId="1" fillId="0" borderId="43" xfId="0" applyFont="1" applyBorder="1" applyAlignment="1">
      <alignment wrapText="1"/>
    </xf>
    <xf numFmtId="0" fontId="1" fillId="0" borderId="82" xfId="0" applyFont="1" applyBorder="1"/>
    <xf numFmtId="181" fontId="1" fillId="0" borderId="43" xfId="0" applyNumberFormat="1" applyFont="1" applyBorder="1" applyAlignment="1">
      <alignment wrapText="1"/>
    </xf>
    <xf numFmtId="181" fontId="1" fillId="0" borderId="43" xfId="0" applyNumberFormat="1" applyFont="1" applyBorder="1"/>
    <xf numFmtId="9" fontId="1" fillId="0" borderId="82" xfId="0" applyNumberFormat="1" applyFont="1" applyBorder="1" applyAlignment="1">
      <alignment horizontal="center"/>
    </xf>
    <xf numFmtId="0" fontId="16" fillId="0" borderId="87" xfId="0" applyFont="1" applyBorder="1"/>
    <xf numFmtId="6" fontId="1" fillId="0" borderId="0" xfId="0" applyNumberFormat="1" applyFont="1"/>
    <xf numFmtId="0" fontId="1" fillId="0" borderId="76" xfId="0" applyFont="1" applyBorder="1"/>
    <xf numFmtId="184" fontId="1" fillId="0" borderId="43" xfId="0" applyNumberFormat="1" applyFont="1" applyBorder="1" applyAlignment="1">
      <alignment wrapText="1"/>
    </xf>
    <xf numFmtId="184" fontId="1" fillId="0" borderId="43" xfId="0" applyNumberFormat="1" applyFont="1" applyBorder="1"/>
    <xf numFmtId="10" fontId="1" fillId="0" borderId="82" xfId="0" applyNumberFormat="1" applyFont="1" applyBorder="1"/>
    <xf numFmtId="0" fontId="1" fillId="0" borderId="87" xfId="0" applyFont="1" applyBorder="1"/>
    <xf numFmtId="10" fontId="1" fillId="0" borderId="82" xfId="0" applyNumberFormat="1" applyFont="1" applyBorder="1" applyAlignment="1">
      <alignment horizontal="center"/>
    </xf>
    <xf numFmtId="181" fontId="1" fillId="2" borderId="43" xfId="0" applyNumberFormat="1" applyFont="1" applyFill="1" applyBorder="1" applyAlignment="1">
      <alignment wrapText="1"/>
    </xf>
    <xf numFmtId="181" fontId="1" fillId="2" borderId="43" xfId="0" applyNumberFormat="1" applyFont="1" applyFill="1" applyBorder="1"/>
    <xf numFmtId="165" fontId="1" fillId="0" borderId="43" xfId="0" applyNumberFormat="1" applyFont="1" applyBorder="1" applyAlignment="1">
      <alignment wrapText="1"/>
    </xf>
    <xf numFmtId="165" fontId="1" fillId="2" borderId="43" xfId="0" applyNumberFormat="1" applyFont="1" applyFill="1" applyBorder="1"/>
    <xf numFmtId="165" fontId="1" fillId="0" borderId="43" xfId="0" applyNumberFormat="1" applyFont="1" applyBorder="1"/>
    <xf numFmtId="4" fontId="1" fillId="0" borderId="43" xfId="0" applyNumberFormat="1" applyFont="1" applyBorder="1"/>
    <xf numFmtId="180" fontId="1" fillId="0" borderId="82" xfId="0" applyNumberFormat="1" applyFont="1" applyBorder="1"/>
    <xf numFmtId="0" fontId="1" fillId="2" borderId="76" xfId="0" applyFont="1" applyFill="1" applyBorder="1"/>
    <xf numFmtId="0" fontId="1" fillId="2" borderId="43" xfId="0" applyFont="1" applyFill="1" applyBorder="1" applyAlignment="1">
      <alignment horizontal="center" wrapText="1"/>
    </xf>
    <xf numFmtId="165" fontId="1" fillId="2" borderId="43" xfId="0" applyNumberFormat="1" applyFont="1" applyFill="1" applyBorder="1" applyAlignment="1">
      <alignment wrapText="1"/>
    </xf>
    <xf numFmtId="4" fontId="1" fillId="2" borderId="43" xfId="0" applyNumberFormat="1" applyFont="1" applyFill="1" applyBorder="1"/>
    <xf numFmtId="180" fontId="1" fillId="2" borderId="82" xfId="0" applyNumberFormat="1" applyFont="1" applyFill="1" applyBorder="1"/>
    <xf numFmtId="9" fontId="1" fillId="2" borderId="1" xfId="0" applyNumberFormat="1" applyFont="1" applyFill="1" applyBorder="1"/>
    <xf numFmtId="0" fontId="1" fillId="2" borderId="1" xfId="0" applyFont="1" applyFill="1" applyBorder="1" applyAlignment="1">
      <alignment wrapText="1"/>
    </xf>
    <xf numFmtId="0" fontId="1" fillId="11" borderId="87" xfId="0" applyFont="1" applyFill="1" applyBorder="1"/>
    <xf numFmtId="0" fontId="1" fillId="11" borderId="46" xfId="0" applyFont="1" applyFill="1" applyBorder="1" applyAlignment="1">
      <alignment horizontal="center" wrapText="1"/>
    </xf>
    <xf numFmtId="0" fontId="1" fillId="11" borderId="46" xfId="0" applyFont="1" applyFill="1" applyBorder="1" applyAlignment="1">
      <alignment wrapText="1"/>
    </xf>
    <xf numFmtId="165" fontId="1" fillId="11" borderId="43" xfId="0" applyNumberFormat="1" applyFont="1" applyFill="1" applyBorder="1"/>
    <xf numFmtId="4" fontId="1" fillId="11" borderId="43" xfId="0" applyNumberFormat="1" applyFont="1" applyFill="1" applyBorder="1"/>
    <xf numFmtId="180" fontId="1" fillId="11" borderId="82" xfId="0" applyNumberFormat="1" applyFont="1" applyFill="1" applyBorder="1"/>
    <xf numFmtId="0" fontId="51" fillId="11" borderId="0" xfId="0" applyFont="1" applyFill="1"/>
    <xf numFmtId="9" fontId="1" fillId="11" borderId="0" xfId="0" applyNumberFormat="1" applyFont="1" applyFill="1"/>
    <xf numFmtId="0" fontId="1" fillId="11" borderId="0" xfId="0" applyFont="1" applyFill="1" applyAlignment="1">
      <alignment wrapText="1"/>
    </xf>
    <xf numFmtId="0" fontId="1" fillId="0" borderId="46" xfId="0" applyFont="1" applyBorder="1" applyAlignment="1">
      <alignment horizontal="center" wrapText="1"/>
    </xf>
    <xf numFmtId="0" fontId="1" fillId="0" borderId="46" xfId="0" applyFont="1" applyBorder="1" applyAlignment="1">
      <alignment wrapText="1"/>
    </xf>
    <xf numFmtId="0" fontId="1" fillId="0" borderId="46" xfId="0" applyFont="1" applyBorder="1"/>
    <xf numFmtId="9" fontId="34" fillId="4" borderId="43" xfId="0" applyNumberFormat="1" applyFont="1" applyFill="1" applyBorder="1" applyAlignment="1">
      <alignment horizontal="center" vertical="top" wrapText="1"/>
    </xf>
    <xf numFmtId="9" fontId="1" fillId="0" borderId="43" xfId="0" applyNumberFormat="1" applyFont="1" applyBorder="1"/>
    <xf numFmtId="0" fontId="1" fillId="0" borderId="82" xfId="0" applyFont="1" applyBorder="1" applyAlignment="1">
      <alignment wrapText="1"/>
    </xf>
    <xf numFmtId="0" fontId="16" fillId="0" borderId="114" xfId="0" applyFont="1" applyBorder="1"/>
    <xf numFmtId="0" fontId="1" fillId="0" borderId="42" xfId="0" applyFont="1" applyBorder="1" applyAlignment="1">
      <alignment horizontal="center" wrapText="1"/>
    </xf>
    <xf numFmtId="0" fontId="1" fillId="0" borderId="42" xfId="0" applyFont="1" applyBorder="1" applyAlignment="1">
      <alignment wrapText="1"/>
    </xf>
    <xf numFmtId="0" fontId="1" fillId="0" borderId="42" xfId="0" applyFont="1" applyBorder="1"/>
    <xf numFmtId="9" fontId="1" fillId="0" borderId="42" xfId="0" applyNumberFormat="1" applyFont="1" applyBorder="1"/>
    <xf numFmtId="0" fontId="1" fillId="0" borderId="100" xfId="0" applyFont="1" applyBorder="1" applyAlignment="1">
      <alignment wrapText="1"/>
    </xf>
    <xf numFmtId="0" fontId="1" fillId="0" borderId="3" xfId="0" applyFont="1" applyBorder="1" applyAlignment="1">
      <alignment horizontal="center" vertical="center" wrapText="1"/>
    </xf>
    <xf numFmtId="0" fontId="1" fillId="0" borderId="44" xfId="0" applyFont="1" applyBorder="1" applyAlignment="1">
      <alignment vertical="center" wrapText="1"/>
    </xf>
    <xf numFmtId="0" fontId="1" fillId="0" borderId="44" xfId="0" applyFont="1" applyBorder="1" applyAlignment="1">
      <alignment vertical="center"/>
    </xf>
    <xf numFmtId="9" fontId="1" fillId="0" borderId="44" xfId="0" applyNumberFormat="1" applyFont="1" applyBorder="1" applyAlignment="1">
      <alignment vertical="center"/>
    </xf>
    <xf numFmtId="0" fontId="1" fillId="0" borderId="77" xfId="0" applyFont="1" applyBorder="1" applyAlignment="1">
      <alignment vertical="center" wrapText="1"/>
    </xf>
    <xf numFmtId="0" fontId="1" fillId="0" borderId="0" xfId="0" applyFont="1" applyAlignment="1">
      <alignment vertical="center"/>
    </xf>
    <xf numFmtId="0" fontId="1" fillId="0" borderId="43" xfId="0" applyFont="1" applyBorder="1" applyAlignment="1">
      <alignment vertical="center" wrapText="1"/>
    </xf>
    <xf numFmtId="0" fontId="1" fillId="0" borderId="43" xfId="0" applyFont="1" applyBorder="1" applyAlignment="1">
      <alignment vertical="center"/>
    </xf>
    <xf numFmtId="9" fontId="1" fillId="0" borderId="43" xfId="0" applyNumberFormat="1" applyFont="1" applyBorder="1" applyAlignment="1">
      <alignment vertical="center"/>
    </xf>
    <xf numFmtId="0" fontId="1" fillId="0" borderId="82" xfId="0" applyFont="1" applyBorder="1" applyAlignment="1">
      <alignment vertical="center" wrapText="1"/>
    </xf>
    <xf numFmtId="0" fontId="1" fillId="0" borderId="46" xfId="0" applyFont="1" applyBorder="1" applyAlignment="1">
      <alignment horizontal="center" vertical="center" wrapText="1"/>
    </xf>
    <xf numFmtId="0" fontId="1" fillId="0" borderId="46" xfId="0" applyFont="1" applyBorder="1" applyAlignment="1">
      <alignment vertical="center" wrapText="1"/>
    </xf>
    <xf numFmtId="0" fontId="1" fillId="0" borderId="46" xfId="0" applyFont="1" applyBorder="1" applyAlignment="1">
      <alignment vertical="center"/>
    </xf>
    <xf numFmtId="9" fontId="1" fillId="0" borderId="46" xfId="0" applyNumberFormat="1" applyFont="1" applyBorder="1" applyAlignment="1">
      <alignment vertical="center"/>
    </xf>
    <xf numFmtId="0" fontId="1" fillId="0" borderId="88" xfId="0" applyFont="1" applyBorder="1" applyAlignment="1">
      <alignment vertical="center" wrapText="1"/>
    </xf>
    <xf numFmtId="0" fontId="1" fillId="2" borderId="44" xfId="0" applyFont="1" applyFill="1" applyBorder="1" applyAlignment="1">
      <alignment vertical="center"/>
    </xf>
    <xf numFmtId="9" fontId="1" fillId="2" borderId="44" xfId="0" applyNumberFormat="1" applyFont="1" applyFill="1" applyBorder="1" applyAlignment="1">
      <alignment vertical="center"/>
    </xf>
    <xf numFmtId="0" fontId="1" fillId="2" borderId="77" xfId="0" applyFont="1" applyFill="1" applyBorder="1" applyAlignment="1">
      <alignment vertical="center" wrapText="1"/>
    </xf>
    <xf numFmtId="0" fontId="1" fillId="2" borderId="43" xfId="0" applyFont="1" applyFill="1" applyBorder="1" applyAlignment="1">
      <alignment vertical="center"/>
    </xf>
    <xf numFmtId="9" fontId="1" fillId="2" borderId="43" xfId="0" applyNumberFormat="1" applyFont="1" applyFill="1" applyBorder="1" applyAlignment="1">
      <alignment vertical="center"/>
    </xf>
    <xf numFmtId="0" fontId="1" fillId="2" borderId="82" xfId="0" applyFont="1" applyFill="1" applyBorder="1" applyAlignment="1">
      <alignment vertical="center" wrapText="1"/>
    </xf>
    <xf numFmtId="0" fontId="1" fillId="2" borderId="46" xfId="0" applyFont="1" applyFill="1" applyBorder="1" applyAlignment="1">
      <alignment vertical="center"/>
    </xf>
    <xf numFmtId="9" fontId="1" fillId="2" borderId="46" xfId="0" applyNumberFormat="1" applyFont="1" applyFill="1" applyBorder="1" applyAlignment="1">
      <alignment vertical="center"/>
    </xf>
    <xf numFmtId="0" fontId="1" fillId="2" borderId="88" xfId="0" applyFont="1" applyFill="1" applyBorder="1" applyAlignment="1">
      <alignment vertical="center" wrapText="1"/>
    </xf>
    <xf numFmtId="0" fontId="16" fillId="0" borderId="0" xfId="0" applyFont="1"/>
    <xf numFmtId="0" fontId="52" fillId="2" borderId="82" xfId="0" applyFont="1" applyFill="1" applyBorder="1" applyAlignment="1">
      <alignment horizontal="center" vertical="center" wrapText="1"/>
    </xf>
    <xf numFmtId="0" fontId="52" fillId="2" borderId="82" xfId="0" applyFont="1" applyFill="1" applyBorder="1" applyAlignment="1">
      <alignment vertical="center" wrapText="1"/>
    </xf>
    <xf numFmtId="0" fontId="52" fillId="2" borderId="88" xfId="0" applyFont="1" applyFill="1" applyBorder="1" applyAlignment="1">
      <alignment vertical="center" wrapText="1"/>
    </xf>
    <xf numFmtId="0" fontId="1" fillId="2" borderId="82" xfId="0" applyFont="1" applyFill="1" applyBorder="1" applyAlignment="1">
      <alignment wrapText="1"/>
    </xf>
    <xf numFmtId="0" fontId="1" fillId="0" borderId="46" xfId="0" applyFont="1" applyBorder="1" applyAlignment="1">
      <alignment horizontal="center" vertical="center"/>
    </xf>
    <xf numFmtId="0" fontId="1" fillId="0" borderId="44" xfId="0" applyFont="1" applyBorder="1" applyAlignment="1">
      <alignment horizontal="center" vertical="center"/>
    </xf>
    <xf numFmtId="9" fontId="1" fillId="2" borderId="43" xfId="0" applyNumberFormat="1" applyFont="1" applyFill="1" applyBorder="1" applyAlignment="1">
      <alignment horizontal="center" vertical="center"/>
    </xf>
    <xf numFmtId="0" fontId="52" fillId="0" borderId="100" xfId="0" applyFont="1" applyBorder="1" applyAlignment="1">
      <alignment vertical="center" wrapText="1"/>
    </xf>
    <xf numFmtId="0" fontId="53" fillId="0" borderId="0" xfId="0" applyFont="1" applyAlignment="1">
      <alignment horizontal="center" vertical="center"/>
    </xf>
    <xf numFmtId="0" fontId="53" fillId="0" borderId="0" xfId="0" applyFont="1" applyAlignment="1">
      <alignment vertical="center"/>
    </xf>
    <xf numFmtId="0" fontId="1" fillId="2" borderId="43" xfId="0" applyFont="1" applyFill="1" applyBorder="1" applyAlignment="1">
      <alignment vertical="center" wrapText="1"/>
    </xf>
    <xf numFmtId="0" fontId="53" fillId="0" borderId="0" xfId="0" applyFont="1"/>
    <xf numFmtId="0" fontId="1" fillId="2" borderId="129" xfId="0" applyFont="1" applyFill="1" applyBorder="1" applyAlignment="1">
      <alignment horizontal="center" vertical="center" wrapText="1"/>
    </xf>
    <xf numFmtId="0" fontId="1" fillId="2" borderId="44" xfId="0" applyFont="1" applyFill="1" applyBorder="1" applyAlignment="1">
      <alignment vertical="center" wrapText="1"/>
    </xf>
    <xf numFmtId="0" fontId="1" fillId="2" borderId="46" xfId="0" applyFont="1" applyFill="1" applyBorder="1" applyAlignment="1">
      <alignment horizontal="center" vertical="center"/>
    </xf>
    <xf numFmtId="0" fontId="1" fillId="2" borderId="44" xfId="0" applyFont="1" applyFill="1" applyBorder="1" applyAlignment="1">
      <alignment horizontal="center" vertical="center"/>
    </xf>
    <xf numFmtId="9" fontId="1" fillId="2" borderId="43" xfId="0" applyNumberFormat="1" applyFont="1" applyFill="1" applyBorder="1"/>
    <xf numFmtId="0" fontId="53" fillId="2" borderId="1" xfId="0" applyFont="1" applyFill="1" applyBorder="1"/>
    <xf numFmtId="0" fontId="1" fillId="2" borderId="43"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6" xfId="0" applyFont="1" applyFill="1" applyBorder="1" applyAlignment="1">
      <alignment vertical="center" wrapText="1"/>
    </xf>
    <xf numFmtId="0" fontId="1" fillId="11" borderId="129" xfId="0" applyFont="1" applyFill="1" applyBorder="1" applyAlignment="1">
      <alignment horizontal="center" vertical="center" wrapText="1"/>
    </xf>
    <xf numFmtId="0" fontId="1" fillId="11" borderId="44" xfId="0" applyFont="1" applyFill="1" applyBorder="1" applyAlignment="1">
      <alignment vertical="center" wrapText="1"/>
    </xf>
    <xf numFmtId="0" fontId="1" fillId="11" borderId="46" xfId="0" applyFont="1" applyFill="1" applyBorder="1" applyAlignment="1">
      <alignment horizontal="center" vertical="center"/>
    </xf>
    <xf numFmtId="0" fontId="1" fillId="11" borderId="44" xfId="0" applyFont="1" applyFill="1" applyBorder="1" applyAlignment="1">
      <alignment horizontal="center" vertical="center"/>
    </xf>
    <xf numFmtId="0" fontId="1" fillId="11" borderId="43" xfId="0" applyFont="1" applyFill="1" applyBorder="1"/>
    <xf numFmtId="9" fontId="1" fillId="11" borderId="43" xfId="0" applyNumberFormat="1" applyFont="1" applyFill="1" applyBorder="1"/>
    <xf numFmtId="0" fontId="1" fillId="11" borderId="82" xfId="0" applyFont="1" applyFill="1" applyBorder="1" applyAlignment="1">
      <alignment wrapText="1"/>
    </xf>
    <xf numFmtId="0" fontId="1" fillId="11" borderId="1" xfId="0" applyFont="1" applyFill="1" applyBorder="1"/>
    <xf numFmtId="0" fontId="53" fillId="11" borderId="1" xfId="0" applyFont="1" applyFill="1" applyBorder="1"/>
    <xf numFmtId="0" fontId="1" fillId="11" borderId="43" xfId="0" applyFont="1" applyFill="1" applyBorder="1" applyAlignment="1">
      <alignment horizontal="center" vertical="center" wrapText="1"/>
    </xf>
    <xf numFmtId="0" fontId="1" fillId="11" borderId="43" xfId="0" applyFont="1" applyFill="1" applyBorder="1" applyAlignment="1">
      <alignment vertical="center" wrapText="1"/>
    </xf>
    <xf numFmtId="0" fontId="1" fillId="11" borderId="43" xfId="0" applyFont="1" applyFill="1" applyBorder="1" applyAlignment="1">
      <alignment horizontal="center" vertical="center"/>
    </xf>
    <xf numFmtId="0" fontId="1" fillId="11" borderId="82" xfId="0" applyFont="1" applyFill="1" applyBorder="1" applyAlignment="1">
      <alignment vertical="center" wrapText="1"/>
    </xf>
    <xf numFmtId="0" fontId="1" fillId="11" borderId="46" xfId="0" applyFont="1" applyFill="1" applyBorder="1" applyAlignment="1">
      <alignment horizontal="center" vertical="center" wrapText="1"/>
    </xf>
    <xf numFmtId="0" fontId="1" fillId="11" borderId="46" xfId="0" applyFont="1" applyFill="1" applyBorder="1" applyAlignment="1">
      <alignment vertical="center" wrapText="1"/>
    </xf>
    <xf numFmtId="9" fontId="1" fillId="0" borderId="46" xfId="0" applyNumberFormat="1" applyFont="1" applyBorder="1"/>
    <xf numFmtId="0" fontId="1" fillId="0" borderId="88" xfId="0" applyFont="1" applyBorder="1" applyAlignment="1">
      <alignment wrapText="1"/>
    </xf>
    <xf numFmtId="0" fontId="34" fillId="4" borderId="88" xfId="0" applyFont="1" applyFill="1" applyBorder="1" applyAlignment="1">
      <alignment horizontal="center" vertical="center" wrapText="1"/>
    </xf>
    <xf numFmtId="0" fontId="16" fillId="0" borderId="45" xfId="0" applyFont="1" applyBorder="1" applyAlignment="1">
      <alignment wrapText="1"/>
    </xf>
    <xf numFmtId="181" fontId="16" fillId="0" borderId="45" xfId="0" applyNumberFormat="1" applyFont="1" applyBorder="1" applyAlignment="1">
      <alignment horizontal="center" vertical="center"/>
    </xf>
    <xf numFmtId="0" fontId="16" fillId="0" borderId="99" xfId="0" applyFont="1" applyBorder="1"/>
    <xf numFmtId="0" fontId="16" fillId="0" borderId="43" xfId="0" applyFont="1" applyBorder="1" applyAlignment="1">
      <alignment wrapText="1"/>
    </xf>
    <xf numFmtId="181" fontId="16" fillId="0" borderId="43" xfId="0" applyNumberFormat="1" applyFont="1" applyBorder="1" applyAlignment="1">
      <alignment horizontal="center" vertical="center"/>
    </xf>
    <xf numFmtId="0" fontId="16" fillId="0" borderId="82" xfId="0" applyFont="1" applyBorder="1"/>
    <xf numFmtId="0" fontId="16" fillId="0" borderId="46" xfId="0" applyFont="1" applyBorder="1" applyAlignment="1">
      <alignment horizontal="center" wrapText="1"/>
    </xf>
    <xf numFmtId="0" fontId="16" fillId="0" borderId="46" xfId="0" applyFont="1" applyBorder="1" applyAlignment="1">
      <alignment wrapText="1"/>
    </xf>
    <xf numFmtId="0" fontId="16" fillId="0" borderId="46" xfId="0" applyFont="1" applyBorder="1"/>
    <xf numFmtId="0" fontId="16" fillId="0" borderId="88" xfId="0" applyFont="1" applyBorder="1"/>
    <xf numFmtId="0" fontId="16" fillId="0" borderId="45" xfId="0" applyFont="1" applyBorder="1" applyAlignment="1">
      <alignment horizontal="center" vertical="center" wrapText="1"/>
    </xf>
    <xf numFmtId="184" fontId="1" fillId="0" borderId="43" xfId="0" applyNumberFormat="1" applyFont="1" applyBorder="1" applyAlignment="1">
      <alignment horizontal="center" vertical="center"/>
    </xf>
    <xf numFmtId="0" fontId="1" fillId="0" borderId="82" xfId="0" applyFont="1" applyBorder="1" applyAlignment="1">
      <alignment horizontal="center" vertical="center"/>
    </xf>
    <xf numFmtId="9" fontId="1" fillId="0" borderId="0" xfId="0" applyNumberFormat="1" applyFont="1" applyAlignment="1">
      <alignment horizontal="center" vertical="center"/>
    </xf>
    <xf numFmtId="0" fontId="1" fillId="0" borderId="0" xfId="0" applyFont="1" applyAlignment="1">
      <alignment horizontal="center" vertical="center" wrapText="1"/>
    </xf>
    <xf numFmtId="0" fontId="16" fillId="0" borderId="43" xfId="0" applyFont="1" applyBorder="1" applyAlignment="1">
      <alignment horizontal="center" vertical="center" wrapText="1"/>
    </xf>
    <xf numFmtId="184" fontId="1" fillId="0" borderId="45" xfId="0" applyNumberFormat="1" applyFont="1" applyBorder="1" applyAlignment="1">
      <alignment horizontal="center" vertical="center"/>
    </xf>
    <xf numFmtId="0" fontId="1" fillId="0" borderId="45" xfId="0" applyFont="1" applyBorder="1" applyAlignment="1">
      <alignment horizontal="center" vertical="center"/>
    </xf>
    <xf numFmtId="0" fontId="1" fillId="0" borderId="99" xfId="0" applyFont="1" applyBorder="1" applyAlignment="1">
      <alignment horizontal="center" vertical="center"/>
    </xf>
    <xf numFmtId="184" fontId="1" fillId="2" borderId="43" xfId="0" applyNumberFormat="1" applyFont="1" applyFill="1" applyBorder="1" applyAlignment="1">
      <alignment horizontal="center" vertical="center"/>
    </xf>
    <xf numFmtId="185" fontId="1" fillId="0" borderId="43" xfId="0" applyNumberFormat="1" applyFont="1" applyBorder="1" applyAlignment="1">
      <alignment horizontal="center" vertical="center"/>
    </xf>
    <xf numFmtId="185" fontId="1" fillId="2" borderId="43" xfId="0" applyNumberFormat="1" applyFont="1" applyFill="1" applyBorder="1" applyAlignment="1">
      <alignment horizontal="center" vertical="center"/>
    </xf>
    <xf numFmtId="185" fontId="1" fillId="0" borderId="45" xfId="0" applyNumberFormat="1" applyFont="1" applyBorder="1" applyAlignment="1">
      <alignment horizontal="center" vertical="center"/>
    </xf>
    <xf numFmtId="0" fontId="1" fillId="0" borderId="130" xfId="0" applyFont="1" applyBorder="1" applyAlignment="1">
      <alignment horizontal="center" vertical="center"/>
    </xf>
    <xf numFmtId="0" fontId="1" fillId="0" borderId="90" xfId="0" applyFont="1" applyBorder="1" applyAlignment="1">
      <alignment horizontal="center" vertical="center" wrapText="1"/>
    </xf>
    <xf numFmtId="0" fontId="16" fillId="0" borderId="90" xfId="0" applyFont="1" applyBorder="1" applyAlignment="1">
      <alignment horizontal="center" vertical="center" wrapText="1"/>
    </xf>
    <xf numFmtId="184" fontId="1" fillId="0" borderId="90" xfId="0" applyNumberFormat="1" applyFont="1" applyBorder="1" applyAlignment="1">
      <alignment horizontal="center" vertical="center"/>
    </xf>
    <xf numFmtId="0" fontId="1" fillId="0" borderId="90" xfId="0" applyFont="1" applyBorder="1" applyAlignment="1">
      <alignment horizontal="center" vertical="center"/>
    </xf>
    <xf numFmtId="0" fontId="16" fillId="2" borderId="70" xfId="0" applyFont="1" applyFill="1" applyBorder="1" applyAlignment="1">
      <alignment horizontal="center" vertical="center" wrapText="1"/>
    </xf>
    <xf numFmtId="0" fontId="1" fillId="2" borderId="82" xfId="0" applyFont="1" applyFill="1" applyBorder="1" applyAlignment="1">
      <alignment horizontal="center" vertical="center"/>
    </xf>
    <xf numFmtId="9" fontId="1" fillId="2" borderId="1" xfId="0" applyNumberFormat="1" applyFont="1" applyFill="1" applyBorder="1" applyAlignment="1">
      <alignment horizontal="center" vertical="center"/>
    </xf>
    <xf numFmtId="0" fontId="16" fillId="2" borderId="43" xfId="0" applyFont="1" applyFill="1" applyBorder="1" applyAlignment="1">
      <alignment horizontal="center" vertical="center" wrapText="1"/>
    </xf>
    <xf numFmtId="185" fontId="1" fillId="2" borderId="70" xfId="0" applyNumberFormat="1" applyFont="1" applyFill="1" applyBorder="1" applyAlignment="1">
      <alignment horizontal="center" vertical="center"/>
    </xf>
    <xf numFmtId="0" fontId="1" fillId="2" borderId="131" xfId="0" applyFont="1" applyFill="1" applyBorder="1" applyAlignment="1">
      <alignment horizontal="center" vertical="center"/>
    </xf>
    <xf numFmtId="0" fontId="16" fillId="11" borderId="70" xfId="0" applyFont="1" applyFill="1" applyBorder="1" applyAlignment="1">
      <alignment horizontal="center" vertical="center" wrapText="1"/>
    </xf>
    <xf numFmtId="185" fontId="1" fillId="11" borderId="43" xfId="0" applyNumberFormat="1" applyFont="1" applyFill="1" applyBorder="1" applyAlignment="1">
      <alignment horizontal="center" vertical="center"/>
    </xf>
    <xf numFmtId="0" fontId="1" fillId="11" borderId="82" xfId="0" applyFont="1" applyFill="1" applyBorder="1" applyAlignment="1">
      <alignment horizontal="center" vertical="center"/>
    </xf>
    <xf numFmtId="0" fontId="1" fillId="11" borderId="1" xfId="0" applyFont="1" applyFill="1" applyBorder="1" applyAlignment="1">
      <alignment horizontal="center" vertical="center"/>
    </xf>
    <xf numFmtId="9" fontId="1" fillId="11" borderId="1" xfId="0" applyNumberFormat="1" applyFont="1" applyFill="1" applyBorder="1" applyAlignment="1">
      <alignment horizontal="center" vertical="center"/>
    </xf>
    <xf numFmtId="0" fontId="1" fillId="11" borderId="1" xfId="0" applyFont="1" applyFill="1" applyBorder="1" applyAlignment="1">
      <alignment horizontal="center" vertical="center" wrapText="1"/>
    </xf>
    <xf numFmtId="0" fontId="16" fillId="11" borderId="43" xfId="0" applyFont="1" applyFill="1" applyBorder="1" applyAlignment="1">
      <alignment horizontal="center" vertical="center" wrapText="1"/>
    </xf>
    <xf numFmtId="185" fontId="1" fillId="11" borderId="70" xfId="0" applyNumberFormat="1" applyFont="1" applyFill="1" applyBorder="1" applyAlignment="1">
      <alignment horizontal="center" vertical="center"/>
    </xf>
    <xf numFmtId="0" fontId="1" fillId="11" borderId="131" xfId="0" applyFont="1" applyFill="1" applyBorder="1" applyAlignment="1">
      <alignment horizontal="center" vertical="center"/>
    </xf>
    <xf numFmtId="185" fontId="1" fillId="0" borderId="90" xfId="0" applyNumberFormat="1" applyFont="1" applyBorder="1" applyAlignment="1">
      <alignment horizontal="center" vertical="center"/>
    </xf>
    <xf numFmtId="185" fontId="1" fillId="2" borderId="132" xfId="0" applyNumberFormat="1" applyFont="1" applyFill="1" applyBorder="1" applyAlignment="1">
      <alignment horizontal="center" vertical="center"/>
    </xf>
    <xf numFmtId="0" fontId="28" fillId="4" borderId="43" xfId="0" applyFont="1" applyFill="1" applyBorder="1" applyAlignment="1">
      <alignment horizontal="center" vertical="center" wrapText="1"/>
    </xf>
    <xf numFmtId="0" fontId="16" fillId="0" borderId="43" xfId="0" applyFont="1" applyBorder="1" applyAlignment="1">
      <alignment horizontal="center" wrapText="1"/>
    </xf>
    <xf numFmtId="0" fontId="16" fillId="0" borderId="43" xfId="0" applyFont="1" applyBorder="1"/>
    <xf numFmtId="0" fontId="16" fillId="2" borderId="43" xfId="0" applyFont="1" applyFill="1" applyBorder="1"/>
    <xf numFmtId="0" fontId="16" fillId="2" borderId="82" xfId="0" applyFont="1" applyFill="1" applyBorder="1"/>
    <xf numFmtId="9" fontId="16" fillId="2" borderId="43" xfId="0" applyNumberFormat="1" applyFont="1" applyFill="1" applyBorder="1"/>
    <xf numFmtId="0" fontId="16" fillId="2" borderId="82" xfId="0" applyFont="1" applyFill="1" applyBorder="1" applyAlignment="1">
      <alignment wrapText="1"/>
    </xf>
    <xf numFmtId="0" fontId="16" fillId="0" borderId="43" xfId="0" applyFont="1" applyBorder="1" applyAlignment="1">
      <alignment vertical="center" wrapText="1"/>
    </xf>
    <xf numFmtId="10" fontId="1" fillId="0" borderId="43" xfId="0" applyNumberFormat="1" applyFont="1" applyBorder="1" applyAlignment="1">
      <alignment vertical="center"/>
    </xf>
    <xf numFmtId="9" fontId="1" fillId="0" borderId="0" xfId="0" applyNumberFormat="1" applyFont="1" applyAlignment="1">
      <alignment vertical="center"/>
    </xf>
    <xf numFmtId="0" fontId="1" fillId="0" borderId="0" xfId="0" applyFont="1" applyAlignment="1">
      <alignment vertical="center" wrapText="1"/>
    </xf>
    <xf numFmtId="0" fontId="1" fillId="0" borderId="82" xfId="0" applyFont="1" applyBorder="1" applyAlignment="1">
      <alignment horizontal="center" vertical="center" wrapText="1"/>
    </xf>
    <xf numFmtId="10" fontId="1" fillId="2" borderId="43" xfId="0" applyNumberFormat="1" applyFont="1" applyFill="1" applyBorder="1" applyAlignment="1">
      <alignment vertical="center"/>
    </xf>
    <xf numFmtId="0" fontId="1" fillId="0" borderId="100" xfId="0" applyFont="1" applyBorder="1" applyAlignment="1">
      <alignment vertical="center" wrapText="1"/>
    </xf>
    <xf numFmtId="0" fontId="1" fillId="0" borderId="99" xfId="0" applyFont="1" applyBorder="1" applyAlignment="1">
      <alignment vertical="center" wrapText="1"/>
    </xf>
    <xf numFmtId="0" fontId="1" fillId="0" borderId="88" xfId="0" applyFont="1" applyBorder="1"/>
    <xf numFmtId="2" fontId="1" fillId="0" borderId="43" xfId="0" applyNumberFormat="1" applyFont="1" applyBorder="1" applyAlignment="1">
      <alignment vertical="center"/>
    </xf>
    <xf numFmtId="10" fontId="1" fillId="0" borderId="43" xfId="0" applyNumberFormat="1" applyFont="1" applyBorder="1"/>
    <xf numFmtId="0" fontId="16" fillId="2" borderId="43" xfId="0" applyFont="1" applyFill="1" applyBorder="1" applyAlignment="1">
      <alignment vertical="center" wrapText="1"/>
    </xf>
    <xf numFmtId="10" fontId="1" fillId="2" borderId="43" xfId="0" applyNumberFormat="1" applyFont="1" applyFill="1" applyBorder="1"/>
    <xf numFmtId="0" fontId="16" fillId="11" borderId="43" xfId="0" applyFont="1" applyFill="1" applyBorder="1" applyAlignment="1">
      <alignment vertical="center" wrapText="1"/>
    </xf>
    <xf numFmtId="0" fontId="1" fillId="11" borderId="43" xfId="0" applyFont="1" applyFill="1" applyBorder="1" applyAlignment="1">
      <alignment vertical="center"/>
    </xf>
    <xf numFmtId="10" fontId="1" fillId="11" borderId="43" xfId="0" applyNumberFormat="1" applyFont="1" applyFill="1" applyBorder="1"/>
    <xf numFmtId="9" fontId="1" fillId="11" borderId="1" xfId="0" applyNumberFormat="1" applyFont="1" applyFill="1" applyBorder="1"/>
    <xf numFmtId="0" fontId="1" fillId="11" borderId="1" xfId="0" applyFont="1" applyFill="1" applyBorder="1" applyAlignment="1">
      <alignment wrapText="1"/>
    </xf>
    <xf numFmtId="0" fontId="0" fillId="0" borderId="0" xfId="0"/>
    <xf numFmtId="0" fontId="1" fillId="0" borderId="87" xfId="0" applyFont="1" applyFill="1" applyBorder="1"/>
    <xf numFmtId="0" fontId="1" fillId="0" borderId="46" xfId="0" applyFont="1" applyFill="1" applyBorder="1" applyAlignment="1">
      <alignment horizontal="center" wrapText="1"/>
    </xf>
    <xf numFmtId="165" fontId="1" fillId="0" borderId="43" xfId="0" applyNumberFormat="1" applyFont="1" applyFill="1" applyBorder="1" applyAlignment="1">
      <alignment wrapText="1"/>
    </xf>
    <xf numFmtId="173" fontId="1" fillId="0" borderId="46" xfId="0" applyNumberFormat="1" applyFont="1" applyFill="1" applyBorder="1" applyAlignment="1">
      <alignment wrapText="1"/>
    </xf>
    <xf numFmtId="173" fontId="1" fillId="0" borderId="43" xfId="0" applyNumberFormat="1" applyFont="1" applyFill="1" applyBorder="1"/>
    <xf numFmtId="4" fontId="1" fillId="0" borderId="43" xfId="0" applyNumberFormat="1" applyFont="1" applyFill="1" applyBorder="1"/>
    <xf numFmtId="180" fontId="1" fillId="0" borderId="82" xfId="0" applyNumberFormat="1" applyFont="1" applyFill="1" applyBorder="1"/>
    <xf numFmtId="0" fontId="51" fillId="0" borderId="0" xfId="0" applyFont="1" applyFill="1"/>
    <xf numFmtId="9" fontId="1" fillId="0" borderId="0" xfId="0" applyNumberFormat="1" applyFont="1" applyFill="1"/>
    <xf numFmtId="0" fontId="1" fillId="0" borderId="0" xfId="0" applyFont="1" applyFill="1" applyAlignment="1">
      <alignment wrapText="1"/>
    </xf>
    <xf numFmtId="0" fontId="0" fillId="0" borderId="0" xfId="0" applyFill="1"/>
    <xf numFmtId="0" fontId="3" fillId="0" borderId="43" xfId="0" applyFont="1" applyBorder="1" applyAlignment="1">
      <alignment horizontal="center" vertical="center"/>
    </xf>
    <xf numFmtId="0" fontId="1" fillId="0" borderId="129" xfId="0" applyFont="1" applyFill="1" applyBorder="1" applyAlignment="1">
      <alignment horizontal="center" vertical="center" wrapText="1"/>
    </xf>
    <xf numFmtId="0" fontId="1" fillId="0" borderId="44" xfId="0" applyFont="1" applyFill="1" applyBorder="1" applyAlignment="1">
      <alignment vertical="center" wrapText="1"/>
    </xf>
    <xf numFmtId="0" fontId="1" fillId="0" borderId="46"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43" xfId="0" applyFont="1" applyFill="1" applyBorder="1"/>
    <xf numFmtId="9" fontId="1" fillId="0" borderId="43" xfId="0" applyNumberFormat="1" applyFont="1" applyFill="1" applyBorder="1"/>
    <xf numFmtId="0" fontId="1" fillId="0" borderId="82" xfId="0" applyFont="1" applyFill="1" applyBorder="1" applyAlignment="1">
      <alignment wrapText="1"/>
    </xf>
    <xf numFmtId="0" fontId="1" fillId="0" borderId="1" xfId="0" applyFont="1" applyFill="1" applyBorder="1"/>
    <xf numFmtId="0" fontId="53" fillId="0" borderId="1" xfId="0" applyFont="1" applyFill="1" applyBorder="1"/>
    <xf numFmtId="0" fontId="1" fillId="0" borderId="43" xfId="0" applyFont="1" applyFill="1" applyBorder="1" applyAlignment="1">
      <alignment horizontal="center" vertical="center" wrapText="1"/>
    </xf>
    <xf numFmtId="0" fontId="1" fillId="0" borderId="43" xfId="0" applyFont="1" applyFill="1" applyBorder="1" applyAlignment="1">
      <alignment vertical="center" wrapText="1"/>
    </xf>
    <xf numFmtId="0" fontId="1" fillId="0" borderId="43" xfId="0" applyFont="1" applyFill="1" applyBorder="1" applyAlignment="1">
      <alignment horizontal="center" vertical="center"/>
    </xf>
    <xf numFmtId="0" fontId="1" fillId="0" borderId="82" xfId="0" applyFont="1" applyFill="1" applyBorder="1" applyAlignment="1">
      <alignment vertical="center" wrapText="1"/>
    </xf>
    <xf numFmtId="0" fontId="1" fillId="0" borderId="46" xfId="0" applyFont="1" applyFill="1" applyBorder="1" applyAlignment="1">
      <alignment horizontal="center" vertical="center" wrapText="1"/>
    </xf>
    <xf numFmtId="0" fontId="1" fillId="0" borderId="46" xfId="0" applyFont="1" applyFill="1" applyBorder="1" applyAlignment="1">
      <alignment vertical="center" wrapText="1"/>
    </xf>
    <xf numFmtId="0" fontId="16" fillId="0" borderId="70" xfId="0" applyFont="1" applyFill="1" applyBorder="1" applyAlignment="1">
      <alignment horizontal="center" vertical="center" wrapText="1"/>
    </xf>
    <xf numFmtId="3" fontId="1" fillId="0" borderId="43" xfId="0" applyNumberFormat="1" applyFont="1" applyFill="1" applyBorder="1" applyAlignment="1">
      <alignment horizontal="center" vertical="center"/>
    </xf>
    <xf numFmtId="185" fontId="1" fillId="0" borderId="43" xfId="0" applyNumberFormat="1" applyFont="1" applyFill="1" applyBorder="1" applyAlignment="1">
      <alignment horizontal="center" vertical="center"/>
    </xf>
    <xf numFmtId="0" fontId="1" fillId="0" borderId="82" xfId="0" applyFont="1" applyFill="1" applyBorder="1" applyAlignment="1">
      <alignment horizontal="center" vertical="center"/>
    </xf>
    <xf numFmtId="0" fontId="1" fillId="0" borderId="1" xfId="0" applyFont="1" applyFill="1" applyBorder="1" applyAlignment="1">
      <alignment horizontal="center" vertical="center"/>
    </xf>
    <xf numFmtId="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6" fillId="0" borderId="43" xfId="0" applyFont="1" applyFill="1" applyBorder="1" applyAlignment="1">
      <alignment horizontal="center" vertical="center" wrapText="1"/>
    </xf>
    <xf numFmtId="167" fontId="1" fillId="0" borderId="43" xfId="0" applyNumberFormat="1" applyFont="1" applyFill="1" applyBorder="1" applyAlignment="1">
      <alignment horizontal="center" vertical="center"/>
    </xf>
    <xf numFmtId="173" fontId="1" fillId="0" borderId="43" xfId="0" applyNumberFormat="1" applyFont="1" applyFill="1" applyBorder="1" applyAlignment="1">
      <alignment horizontal="center" vertical="center"/>
    </xf>
    <xf numFmtId="169" fontId="1" fillId="0" borderId="43" xfId="0" applyNumberFormat="1" applyFont="1" applyFill="1" applyBorder="1" applyAlignment="1">
      <alignment horizontal="center" vertical="center"/>
    </xf>
    <xf numFmtId="4" fontId="1" fillId="0" borderId="70" xfId="0" applyNumberFormat="1" applyFont="1" applyFill="1" applyBorder="1" applyAlignment="1">
      <alignment horizontal="center" vertical="center"/>
    </xf>
    <xf numFmtId="0" fontId="1" fillId="0" borderId="131" xfId="0" applyFont="1" applyFill="1" applyBorder="1" applyAlignment="1">
      <alignment horizontal="center" vertical="center"/>
    </xf>
    <xf numFmtId="0" fontId="16" fillId="0" borderId="43" xfId="0" applyFont="1" applyFill="1" applyBorder="1" applyAlignment="1">
      <alignment vertical="center" wrapText="1"/>
    </xf>
    <xf numFmtId="0" fontId="1" fillId="0" borderId="43" xfId="0" applyFont="1" applyFill="1" applyBorder="1" applyAlignment="1">
      <alignment vertical="center"/>
    </xf>
    <xf numFmtId="10" fontId="1" fillId="0" borderId="43" xfId="0" applyNumberFormat="1" applyFont="1" applyFill="1" applyBorder="1"/>
    <xf numFmtId="9" fontId="1" fillId="0" borderId="1" xfId="0" applyNumberFormat="1" applyFont="1" applyFill="1" applyBorder="1"/>
    <xf numFmtId="0" fontId="1" fillId="0" borderId="1" xfId="0" applyFont="1" applyFill="1" applyBorder="1" applyAlignment="1">
      <alignment wrapText="1"/>
    </xf>
    <xf numFmtId="10" fontId="29" fillId="0" borderId="45" xfId="0" applyNumberFormat="1" applyFont="1" applyFill="1" applyBorder="1" applyAlignment="1">
      <alignment horizontal="center" vertical="center" wrapText="1"/>
    </xf>
    <xf numFmtId="10" fontId="29" fillId="0" borderId="70" xfId="0" applyNumberFormat="1" applyFont="1" applyFill="1" applyBorder="1" applyAlignment="1">
      <alignment horizontal="center" vertical="center" wrapText="1"/>
    </xf>
    <xf numFmtId="10" fontId="29" fillId="0" borderId="43" xfId="0" applyNumberFormat="1" applyFont="1" applyFill="1" applyBorder="1" applyAlignment="1">
      <alignment horizontal="center" vertical="center" wrapText="1"/>
    </xf>
    <xf numFmtId="10" fontId="29" fillId="0" borderId="42" xfId="0" applyNumberFormat="1" applyFont="1" applyFill="1" applyBorder="1" applyAlignment="1">
      <alignment horizontal="center" vertical="center" wrapText="1"/>
    </xf>
    <xf numFmtId="10" fontId="29" fillId="0" borderId="98" xfId="0" applyNumberFormat="1" applyFont="1" applyFill="1" applyBorder="1" applyAlignment="1">
      <alignment horizontal="center" vertical="center" wrapText="1"/>
    </xf>
    <xf numFmtId="0" fontId="29" fillId="0" borderId="43" xfId="0" applyFont="1" applyFill="1" applyBorder="1" applyAlignment="1">
      <alignment horizontal="center" vertical="center" wrapText="1"/>
    </xf>
    <xf numFmtId="3" fontId="16" fillId="0" borderId="43" xfId="0" applyNumberFormat="1" applyFont="1" applyFill="1" applyBorder="1" applyAlignment="1">
      <alignment horizontal="center" vertical="center" wrapText="1"/>
    </xf>
    <xf numFmtId="164" fontId="16" fillId="0" borderId="43" xfId="0" applyNumberFormat="1" applyFont="1" applyFill="1" applyBorder="1" applyAlignment="1">
      <alignment horizontal="center" vertical="center"/>
    </xf>
    <xf numFmtId="37" fontId="16" fillId="0" borderId="43" xfId="0" applyNumberFormat="1" applyFont="1" applyFill="1" applyBorder="1" applyAlignment="1">
      <alignment horizontal="center" vertical="center"/>
    </xf>
    <xf numFmtId="4" fontId="16" fillId="0" borderId="43" xfId="0" applyNumberFormat="1" applyFont="1" applyFill="1" applyBorder="1" applyAlignment="1">
      <alignment horizontal="center" vertical="center" wrapText="1"/>
    </xf>
    <xf numFmtId="169" fontId="16" fillId="0" borderId="43" xfId="0" applyNumberFormat="1" applyFont="1" applyFill="1" applyBorder="1" applyAlignment="1">
      <alignment horizontal="center" vertical="center" wrapText="1"/>
    </xf>
    <xf numFmtId="9" fontId="1" fillId="0" borderId="43" xfId="0" applyNumberFormat="1" applyFont="1" applyFill="1" applyBorder="1" applyAlignment="1">
      <alignment horizontal="center" vertical="center"/>
    </xf>
    <xf numFmtId="10" fontId="1" fillId="0" borderId="43" xfId="0" applyNumberFormat="1" applyFont="1" applyFill="1" applyBorder="1" applyAlignment="1">
      <alignment horizontal="center" vertical="center" wrapText="1"/>
    </xf>
    <xf numFmtId="10" fontId="1" fillId="0" borderId="123" xfId="0" applyNumberFormat="1" applyFont="1" applyFill="1" applyBorder="1" applyAlignment="1">
      <alignment horizontal="center" vertical="center" wrapText="1"/>
    </xf>
    <xf numFmtId="173" fontId="16" fillId="0" borderId="43" xfId="0" applyNumberFormat="1" applyFont="1" applyFill="1" applyBorder="1" applyAlignment="1">
      <alignment horizontal="center" vertical="center" wrapText="1"/>
    </xf>
    <xf numFmtId="172" fontId="16" fillId="0" borderId="43" xfId="0" applyNumberFormat="1" applyFont="1" applyFill="1" applyBorder="1" applyAlignment="1">
      <alignment horizontal="center" vertical="center"/>
    </xf>
    <xf numFmtId="174" fontId="16" fillId="0" borderId="43" xfId="0" applyNumberFormat="1" applyFont="1" applyFill="1" applyBorder="1" applyAlignment="1">
      <alignment horizontal="center" vertical="center" wrapText="1"/>
    </xf>
    <xf numFmtId="173" fontId="16" fillId="0" borderId="43" xfId="0" applyNumberFormat="1" applyFont="1" applyFill="1" applyBorder="1" applyAlignment="1">
      <alignment horizontal="center" vertical="center"/>
    </xf>
    <xf numFmtId="172" fontId="16" fillId="0" borderId="43" xfId="0" applyNumberFormat="1" applyFont="1" applyFill="1" applyBorder="1" applyAlignment="1">
      <alignment horizontal="center"/>
    </xf>
    <xf numFmtId="0" fontId="16" fillId="0" borderId="43" xfId="0" applyFont="1" applyFill="1" applyBorder="1" applyAlignment="1">
      <alignment horizontal="center"/>
    </xf>
    <xf numFmtId="0" fontId="16" fillId="0" borderId="43" xfId="0" applyFont="1" applyFill="1" applyBorder="1" applyAlignment="1">
      <alignment horizontal="center" vertical="center"/>
    </xf>
    <xf numFmtId="1" fontId="16" fillId="0" borderId="43" xfId="0" applyNumberFormat="1" applyFont="1" applyFill="1" applyBorder="1" applyAlignment="1">
      <alignment horizontal="center" vertical="center"/>
    </xf>
    <xf numFmtId="3" fontId="16" fillId="0" borderId="43" xfId="0" applyNumberFormat="1" applyFont="1" applyFill="1" applyBorder="1" applyAlignment="1">
      <alignment horizontal="center" vertical="center"/>
    </xf>
    <xf numFmtId="4" fontId="16" fillId="0" borderId="43" xfId="0" applyNumberFormat="1" applyFont="1" applyFill="1" applyBorder="1" applyAlignment="1">
      <alignment horizontal="center" vertical="center"/>
    </xf>
    <xf numFmtId="172" fontId="16" fillId="0" borderId="43" xfId="0" applyNumberFormat="1" applyFont="1" applyFill="1" applyBorder="1" applyAlignment="1">
      <alignment horizontal="center" vertical="center" wrapText="1"/>
    </xf>
    <xf numFmtId="10" fontId="1" fillId="0" borderId="139" xfId="0" applyNumberFormat="1" applyFont="1" applyFill="1" applyBorder="1" applyAlignment="1">
      <alignment horizontal="center" vertical="center" wrapText="1"/>
    </xf>
    <xf numFmtId="3" fontId="16" fillId="0" borderId="45" xfId="0" applyNumberFormat="1" applyFont="1" applyFill="1" applyBorder="1" applyAlignment="1">
      <alignment horizontal="center" vertical="center" wrapText="1"/>
    </xf>
    <xf numFmtId="4" fontId="16" fillId="0" borderId="45" xfId="0" applyNumberFormat="1" applyFont="1" applyFill="1" applyBorder="1" applyAlignment="1">
      <alignment horizontal="center" vertical="center" wrapText="1"/>
    </xf>
    <xf numFmtId="167" fontId="16" fillId="0" borderId="45" xfId="0" applyNumberFormat="1" applyFont="1" applyFill="1" applyBorder="1" applyAlignment="1">
      <alignment horizontal="center" vertical="center" wrapText="1"/>
    </xf>
    <xf numFmtId="169" fontId="16" fillId="0" borderId="45" xfId="0" applyNumberFormat="1" applyFont="1" applyFill="1" applyBorder="1" applyAlignment="1">
      <alignment horizontal="center" vertical="center" wrapText="1"/>
    </xf>
    <xf numFmtId="3" fontId="16" fillId="0" borderId="70" xfId="0" applyNumberFormat="1" applyFont="1" applyFill="1" applyBorder="1" applyAlignment="1">
      <alignment horizontal="center" vertical="center" wrapText="1"/>
    </xf>
    <xf numFmtId="10" fontId="1" fillId="0" borderId="89" xfId="0" applyNumberFormat="1" applyFont="1" applyFill="1" applyBorder="1" applyAlignment="1">
      <alignment horizontal="center" vertical="center" wrapText="1"/>
    </xf>
    <xf numFmtId="173" fontId="16" fillId="0" borderId="45" xfId="1" applyNumberFormat="1" applyFont="1" applyFill="1" applyBorder="1" applyAlignment="1">
      <alignment horizontal="center" vertical="center" wrapText="1"/>
    </xf>
    <xf numFmtId="165" fontId="16" fillId="0" borderId="43" xfId="0" applyNumberFormat="1" applyFont="1" applyFill="1" applyBorder="1" applyAlignment="1">
      <alignment horizontal="center" vertical="center"/>
    </xf>
    <xf numFmtId="1" fontId="16" fillId="0" borderId="43" xfId="0" applyNumberFormat="1" applyFont="1" applyFill="1" applyBorder="1" applyAlignment="1">
      <alignment horizontal="center" vertical="center" wrapText="1"/>
    </xf>
    <xf numFmtId="37" fontId="16" fillId="0" borderId="70" xfId="0" applyNumberFormat="1" applyFont="1" applyFill="1" applyBorder="1" applyAlignment="1">
      <alignment horizontal="center" vertical="center"/>
    </xf>
    <xf numFmtId="172" fontId="16" fillId="0" borderId="43" xfId="0" applyNumberFormat="1" applyFont="1" applyFill="1" applyBorder="1" applyAlignment="1">
      <alignment vertical="center" wrapText="1"/>
    </xf>
    <xf numFmtId="173" fontId="16" fillId="0" borderId="45" xfId="0" applyNumberFormat="1" applyFont="1" applyFill="1" applyBorder="1" applyAlignment="1">
      <alignment horizontal="center" vertical="center" wrapText="1"/>
    </xf>
    <xf numFmtId="37" fontId="16" fillId="0" borderId="43" xfId="0" applyNumberFormat="1" applyFont="1" applyFill="1" applyBorder="1" applyAlignment="1">
      <alignment horizontal="center"/>
    </xf>
    <xf numFmtId="39" fontId="16" fillId="0" borderId="45" xfId="0" applyNumberFormat="1" applyFont="1" applyFill="1" applyBorder="1" applyAlignment="1">
      <alignment horizontal="center" vertical="center" wrapText="1"/>
    </xf>
    <xf numFmtId="39" fontId="16" fillId="0" borderId="70" xfId="0" applyNumberFormat="1" applyFont="1" applyFill="1" applyBorder="1" applyAlignment="1">
      <alignment horizontal="center" vertical="center"/>
    </xf>
    <xf numFmtId="175" fontId="16" fillId="0" borderId="70" xfId="0" applyNumberFormat="1" applyFont="1" applyFill="1" applyBorder="1" applyAlignment="1">
      <alignment horizontal="center" vertical="center"/>
    </xf>
    <xf numFmtId="167" fontId="16" fillId="0" borderId="43" xfId="0" applyNumberFormat="1" applyFont="1" applyFill="1" applyBorder="1" applyAlignment="1">
      <alignment horizontal="center" vertical="center" wrapText="1"/>
    </xf>
    <xf numFmtId="39" fontId="16" fillId="0" borderId="43" xfId="0" applyNumberFormat="1" applyFont="1" applyFill="1" applyBorder="1" applyAlignment="1">
      <alignment horizontal="center" vertical="center"/>
    </xf>
    <xf numFmtId="173" fontId="16" fillId="0" borderId="43" xfId="0" applyNumberFormat="1" applyFont="1" applyFill="1" applyBorder="1" applyAlignment="1">
      <alignment horizontal="center"/>
    </xf>
    <xf numFmtId="167" fontId="16" fillId="0" borderId="70" xfId="0" applyNumberFormat="1" applyFont="1" applyFill="1" applyBorder="1" applyAlignment="1">
      <alignment horizontal="center" vertical="center" wrapText="1"/>
    </xf>
    <xf numFmtId="0" fontId="1" fillId="0" borderId="43" xfId="0" applyFont="1" applyFill="1" applyBorder="1" applyAlignment="1">
      <alignment horizontal="center"/>
    </xf>
    <xf numFmtId="178" fontId="16" fillId="0" borderId="70" xfId="0" applyNumberFormat="1" applyFont="1" applyFill="1" applyBorder="1" applyAlignment="1">
      <alignment horizontal="center" vertical="center"/>
    </xf>
    <xf numFmtId="179" fontId="16" fillId="0" borderId="43" xfId="0" applyNumberFormat="1" applyFont="1" applyFill="1" applyBorder="1" applyAlignment="1">
      <alignment horizontal="center" vertical="center" wrapText="1"/>
    </xf>
    <xf numFmtId="172" fontId="16" fillId="0" borderId="49" xfId="0" applyNumberFormat="1" applyFont="1" applyFill="1" applyBorder="1" applyAlignment="1">
      <alignment horizontal="center" vertical="center"/>
    </xf>
    <xf numFmtId="172" fontId="16" fillId="0" borderId="49" xfId="0" applyNumberFormat="1" applyFont="1" applyFill="1" applyBorder="1" applyAlignment="1">
      <alignment horizontal="center" vertical="center" wrapText="1"/>
    </xf>
    <xf numFmtId="3" fontId="16" fillId="0" borderId="98" xfId="0" applyNumberFormat="1" applyFont="1" applyFill="1" applyBorder="1" applyAlignment="1">
      <alignment horizontal="center" vertical="center" wrapText="1"/>
    </xf>
    <xf numFmtId="3" fontId="16" fillId="0" borderId="98" xfId="0" applyNumberFormat="1" applyFont="1" applyFill="1" applyBorder="1" applyAlignment="1">
      <alignment horizontal="center" wrapText="1"/>
    </xf>
    <xf numFmtId="4" fontId="16" fillId="0" borderId="98" xfId="0" applyNumberFormat="1" applyFont="1" applyFill="1" applyBorder="1" applyAlignment="1">
      <alignment horizontal="center" vertical="center" wrapText="1"/>
    </xf>
    <xf numFmtId="169" fontId="16" fillId="0" borderId="98" xfId="0" applyNumberFormat="1" applyFont="1" applyFill="1" applyBorder="1" applyAlignment="1">
      <alignment horizontal="center" vertical="center" wrapText="1"/>
    </xf>
    <xf numFmtId="9" fontId="1" fillId="0" borderId="98" xfId="0" applyNumberFormat="1" applyFont="1" applyFill="1" applyBorder="1" applyAlignment="1">
      <alignment horizontal="center" vertical="center"/>
    </xf>
    <xf numFmtId="10" fontId="1" fillId="0" borderId="98" xfId="0" applyNumberFormat="1" applyFont="1" applyFill="1" applyBorder="1" applyAlignment="1">
      <alignment horizontal="center" vertical="center" wrapText="1"/>
    </xf>
    <xf numFmtId="3" fontId="16" fillId="0" borderId="70" xfId="0" applyNumberFormat="1" applyFont="1" applyFill="1" applyBorder="1" applyAlignment="1">
      <alignment horizontal="center" wrapText="1"/>
    </xf>
    <xf numFmtId="4" fontId="16" fillId="0" borderId="70" xfId="0" applyNumberFormat="1" applyFont="1" applyFill="1" applyBorder="1" applyAlignment="1">
      <alignment horizontal="center" vertical="center" wrapText="1"/>
    </xf>
    <xf numFmtId="169" fontId="16" fillId="0" borderId="70" xfId="0" applyNumberFormat="1" applyFont="1" applyFill="1" applyBorder="1" applyAlignment="1">
      <alignment horizontal="center" vertical="center" wrapText="1"/>
    </xf>
    <xf numFmtId="1" fontId="16" fillId="0" borderId="70" xfId="0" applyNumberFormat="1" applyFont="1" applyFill="1" applyBorder="1" applyAlignment="1">
      <alignment horizontal="center" vertical="center" wrapText="1"/>
    </xf>
    <xf numFmtId="9" fontId="1" fillId="0" borderId="70" xfId="0" applyNumberFormat="1" applyFont="1" applyFill="1" applyBorder="1" applyAlignment="1">
      <alignment horizontal="center" vertical="center"/>
    </xf>
    <xf numFmtId="10" fontId="1" fillId="0" borderId="70" xfId="0" applyNumberFormat="1" applyFont="1" applyFill="1" applyBorder="1" applyAlignment="1">
      <alignment horizontal="center" vertical="center" wrapText="1"/>
    </xf>
    <xf numFmtId="173" fontId="16" fillId="14" borderId="143" xfId="0" applyNumberFormat="1" applyFont="1" applyFill="1" applyBorder="1" applyAlignment="1">
      <alignment horizontal="center" vertical="center" wrapText="1"/>
    </xf>
    <xf numFmtId="173" fontId="16" fillId="14" borderId="144" xfId="0" applyNumberFormat="1" applyFont="1" applyFill="1" applyBorder="1" applyAlignment="1">
      <alignment horizontal="center" vertical="center" wrapText="1"/>
    </xf>
    <xf numFmtId="172" fontId="16" fillId="14" borderId="144" xfId="0" applyNumberFormat="1" applyFont="1" applyFill="1" applyBorder="1" applyAlignment="1">
      <alignment horizontal="center" vertical="center"/>
    </xf>
    <xf numFmtId="3" fontId="16" fillId="14" borderId="144" xfId="0" applyNumberFormat="1" applyFont="1" applyFill="1" applyBorder="1" applyAlignment="1">
      <alignment horizontal="center" vertical="center" wrapText="1"/>
    </xf>
    <xf numFmtId="173" fontId="16" fillId="14" borderId="144" xfId="0" applyNumberFormat="1" applyFont="1" applyFill="1" applyBorder="1" applyAlignment="1">
      <alignment horizontal="center" vertical="center"/>
    </xf>
    <xf numFmtId="9" fontId="1" fillId="14" borderId="144" xfId="0" applyNumberFormat="1" applyFont="1" applyFill="1" applyBorder="1" applyAlignment="1">
      <alignment horizontal="center" vertical="center"/>
    </xf>
    <xf numFmtId="10" fontId="1" fillId="14" borderId="144" xfId="0" applyNumberFormat="1" applyFont="1" applyFill="1" applyBorder="1" applyAlignment="1">
      <alignment horizontal="center" vertical="center" wrapText="1"/>
    </xf>
    <xf numFmtId="10" fontId="1" fillId="14" borderId="145" xfId="0" applyNumberFormat="1" applyFont="1" applyFill="1" applyBorder="1" applyAlignment="1">
      <alignment horizontal="center" vertical="center" wrapText="1"/>
    </xf>
    <xf numFmtId="0" fontId="16" fillId="0" borderId="98" xfId="0" applyFont="1" applyFill="1" applyBorder="1" applyAlignment="1">
      <alignment horizontal="center"/>
    </xf>
    <xf numFmtId="0" fontId="16" fillId="0" borderId="98" xfId="0" applyFont="1" applyFill="1" applyBorder="1" applyAlignment="1">
      <alignment horizontal="center" vertical="center"/>
    </xf>
    <xf numFmtId="4" fontId="16" fillId="0" borderId="98" xfId="0" applyNumberFormat="1" applyFont="1" applyFill="1" applyBorder="1" applyAlignment="1">
      <alignment horizontal="center" vertical="center"/>
    </xf>
    <xf numFmtId="167" fontId="16" fillId="0" borderId="98" xfId="0" applyNumberFormat="1" applyFont="1" applyFill="1" applyBorder="1" applyAlignment="1">
      <alignment horizontal="center" vertical="center"/>
    </xf>
    <xf numFmtId="3" fontId="16" fillId="0" borderId="134" xfId="0" applyNumberFormat="1" applyFont="1" applyFill="1" applyBorder="1" applyAlignment="1">
      <alignment horizontal="center" vertical="center" wrapText="1"/>
    </xf>
    <xf numFmtId="165" fontId="16" fillId="0" borderId="98" xfId="0" applyNumberFormat="1" applyFont="1" applyFill="1" applyBorder="1" applyAlignment="1">
      <alignment horizontal="center" vertical="center"/>
    </xf>
    <xf numFmtId="1" fontId="16" fillId="0" borderId="98" xfId="0" applyNumberFormat="1" applyFont="1" applyFill="1" applyBorder="1" applyAlignment="1">
      <alignment horizontal="center" vertical="center" wrapText="1"/>
    </xf>
    <xf numFmtId="37" fontId="16" fillId="0" borderId="70" xfId="0" applyNumberFormat="1" applyFont="1" applyFill="1" applyBorder="1" applyAlignment="1">
      <alignment horizontal="center"/>
    </xf>
    <xf numFmtId="37" fontId="16" fillId="0" borderId="98" xfId="0" applyNumberFormat="1" applyFont="1" applyFill="1" applyBorder="1" applyAlignment="1">
      <alignment horizontal="center"/>
    </xf>
    <xf numFmtId="37" fontId="16" fillId="0" borderId="98" xfId="0" applyNumberFormat="1" applyFont="1" applyFill="1" applyBorder="1" applyAlignment="1">
      <alignment horizontal="center" vertical="center"/>
    </xf>
    <xf numFmtId="39" fontId="16" fillId="0" borderId="98" xfId="0" applyNumberFormat="1" applyFont="1" applyFill="1" applyBorder="1" applyAlignment="1">
      <alignment horizontal="center" vertical="center"/>
    </xf>
    <xf numFmtId="175" fontId="16" fillId="0" borderId="98" xfId="0" applyNumberFormat="1" applyFont="1" applyFill="1" applyBorder="1" applyAlignment="1">
      <alignment horizontal="center" vertical="center"/>
    </xf>
    <xf numFmtId="39" fontId="16" fillId="0" borderId="70" xfId="0" applyNumberFormat="1" applyFont="1" applyFill="1" applyBorder="1" applyAlignment="1">
      <alignment horizontal="center"/>
    </xf>
    <xf numFmtId="39" fontId="16" fillId="0" borderId="70" xfId="0" applyNumberFormat="1" applyFont="1" applyFill="1" applyBorder="1" applyAlignment="1">
      <alignment horizontal="center" vertical="center" wrapText="1"/>
    </xf>
    <xf numFmtId="4" fontId="16" fillId="0" borderId="70" xfId="0" applyNumberFormat="1" applyFont="1" applyFill="1" applyBorder="1" applyAlignment="1">
      <alignment horizontal="center" vertical="center"/>
    </xf>
    <xf numFmtId="39" fontId="16" fillId="0" borderId="98" xfId="0" applyNumberFormat="1" applyFont="1" applyFill="1" applyBorder="1" applyAlignment="1">
      <alignment horizontal="center"/>
    </xf>
    <xf numFmtId="175" fontId="16" fillId="0" borderId="98" xfId="0" applyNumberFormat="1" applyFont="1" applyFill="1" applyBorder="1" applyAlignment="1">
      <alignment horizontal="center" vertical="center" wrapText="1"/>
    </xf>
    <xf numFmtId="39" fontId="16" fillId="0" borderId="134" xfId="0" applyNumberFormat="1" applyFont="1" applyFill="1" applyBorder="1" applyAlignment="1">
      <alignment horizontal="center" vertical="center" wrapText="1"/>
    </xf>
    <xf numFmtId="167" fontId="16" fillId="0" borderId="98" xfId="0" applyNumberFormat="1" applyFont="1" applyFill="1" applyBorder="1" applyAlignment="1">
      <alignment horizontal="center" vertical="center" wrapText="1"/>
    </xf>
    <xf numFmtId="167" fontId="16" fillId="0" borderId="134" xfId="0" applyNumberFormat="1" applyFont="1" applyFill="1" applyBorder="1" applyAlignment="1">
      <alignment horizontal="center" vertical="center" wrapText="1"/>
    </xf>
    <xf numFmtId="165" fontId="16" fillId="0" borderId="70" xfId="0" applyNumberFormat="1" applyFont="1" applyFill="1" applyBorder="1" applyAlignment="1">
      <alignment horizontal="center" vertical="center"/>
    </xf>
    <xf numFmtId="1" fontId="16" fillId="0" borderId="70" xfId="0" applyNumberFormat="1" applyFont="1" applyFill="1" applyBorder="1" applyAlignment="1">
      <alignment horizontal="center" vertical="center"/>
    </xf>
    <xf numFmtId="176" fontId="16" fillId="0" borderId="70" xfId="0" applyNumberFormat="1" applyFont="1" applyFill="1" applyBorder="1" applyAlignment="1">
      <alignment horizontal="center" vertical="center"/>
    </xf>
    <xf numFmtId="169" fontId="16" fillId="0" borderId="134" xfId="0" applyNumberFormat="1" applyFont="1" applyFill="1" applyBorder="1" applyAlignment="1">
      <alignment horizontal="center" vertical="center" wrapText="1"/>
    </xf>
    <xf numFmtId="2" fontId="16" fillId="0" borderId="70" xfId="0" applyNumberFormat="1" applyFont="1" applyFill="1" applyBorder="1" applyAlignment="1">
      <alignment horizontal="center" wrapText="1"/>
    </xf>
    <xf numFmtId="2" fontId="16" fillId="0" borderId="98" xfId="0" applyNumberFormat="1" applyFont="1" applyFill="1" applyBorder="1" applyAlignment="1">
      <alignment horizontal="center"/>
    </xf>
    <xf numFmtId="177" fontId="16" fillId="0" borderId="98" xfId="0" applyNumberFormat="1" applyFont="1" applyFill="1" applyBorder="1" applyAlignment="1">
      <alignment horizontal="center" vertical="center" wrapText="1"/>
    </xf>
    <xf numFmtId="4" fontId="16" fillId="0" borderId="134" xfId="0" applyNumberFormat="1" applyFont="1" applyFill="1" applyBorder="1" applyAlignment="1">
      <alignment horizontal="center" vertical="center" wrapText="1"/>
    </xf>
    <xf numFmtId="2" fontId="16" fillId="0" borderId="98" xfId="0" applyNumberFormat="1" applyFont="1" applyFill="1" applyBorder="1" applyAlignment="1">
      <alignment horizontal="center" vertical="center"/>
    </xf>
    <xf numFmtId="2" fontId="16" fillId="0" borderId="98" xfId="0" applyNumberFormat="1" applyFont="1" applyFill="1" applyBorder="1" applyAlignment="1">
      <alignment horizontal="center" vertical="center" wrapText="1"/>
    </xf>
    <xf numFmtId="176" fontId="16" fillId="0" borderId="70" xfId="0" applyNumberFormat="1" applyFont="1" applyFill="1" applyBorder="1" applyAlignment="1">
      <alignment horizontal="center"/>
    </xf>
    <xf numFmtId="172" fontId="16" fillId="0" borderId="70" xfId="0" applyNumberFormat="1" applyFont="1" applyFill="1" applyBorder="1" applyAlignment="1">
      <alignment horizontal="center" vertical="center" wrapText="1"/>
    </xf>
    <xf numFmtId="172" fontId="16" fillId="0" borderId="137" xfId="0" applyNumberFormat="1" applyFont="1" applyFill="1" applyBorder="1" applyAlignment="1">
      <alignment horizontal="center" vertical="center" wrapText="1"/>
    </xf>
    <xf numFmtId="172" fontId="16" fillId="15" borderId="146" xfId="0" applyNumberFormat="1" applyFont="1" applyFill="1" applyBorder="1" applyAlignment="1">
      <alignment horizontal="center" vertical="center"/>
    </xf>
    <xf numFmtId="172" fontId="16" fillId="15" borderId="147" xfId="0" applyNumberFormat="1" applyFont="1" applyFill="1" applyBorder="1" applyAlignment="1">
      <alignment horizontal="center" vertical="center" wrapText="1"/>
    </xf>
    <xf numFmtId="173" fontId="16" fillId="15" borderId="147" xfId="0" applyNumberFormat="1" applyFont="1" applyFill="1" applyBorder="1" applyAlignment="1">
      <alignment horizontal="center" vertical="center" wrapText="1"/>
    </xf>
    <xf numFmtId="173" fontId="16" fillId="15" borderId="148" xfId="0" applyNumberFormat="1" applyFont="1" applyFill="1" applyBorder="1" applyAlignment="1">
      <alignment horizontal="center" vertical="center" wrapText="1"/>
    </xf>
    <xf numFmtId="172" fontId="16" fillId="15" borderId="149" xfId="0" applyNumberFormat="1" applyFont="1" applyFill="1" applyBorder="1" applyAlignment="1">
      <alignment horizontal="center" vertical="center"/>
    </xf>
    <xf numFmtId="172" fontId="16" fillId="15" borderId="43" xfId="0" applyNumberFormat="1" applyFont="1" applyFill="1" applyBorder="1" applyAlignment="1">
      <alignment horizontal="center" vertical="center"/>
    </xf>
    <xf numFmtId="172" fontId="16" fillId="15" borderId="43" xfId="0" applyNumberFormat="1" applyFont="1" applyFill="1" applyBorder="1" applyAlignment="1">
      <alignment horizontal="center" vertical="center" wrapText="1"/>
    </xf>
    <xf numFmtId="173" fontId="16" fillId="15" borderId="43" xfId="0" applyNumberFormat="1" applyFont="1" applyFill="1" applyBorder="1" applyAlignment="1">
      <alignment horizontal="center" vertical="center"/>
    </xf>
    <xf numFmtId="173" fontId="16" fillId="15" borderId="43" xfId="0" applyNumberFormat="1" applyFont="1" applyFill="1" applyBorder="1" applyAlignment="1">
      <alignment horizontal="center" vertical="center" wrapText="1"/>
    </xf>
    <xf numFmtId="173" fontId="16" fillId="15" borderId="150" xfId="0" applyNumberFormat="1" applyFont="1" applyFill="1" applyBorder="1" applyAlignment="1">
      <alignment horizontal="center" vertical="center"/>
    </xf>
    <xf numFmtId="172" fontId="16" fillId="15" borderId="151" xfId="0" applyNumberFormat="1" applyFont="1" applyFill="1" applyBorder="1" applyAlignment="1">
      <alignment horizontal="center" vertical="center" wrapText="1"/>
    </xf>
    <xf numFmtId="172" fontId="16" fillId="15" borderId="152" xfId="0" applyNumberFormat="1" applyFont="1" applyFill="1" applyBorder="1" applyAlignment="1">
      <alignment horizontal="center" vertical="center" wrapText="1"/>
    </xf>
    <xf numFmtId="173" fontId="16" fillId="15" borderId="152" xfId="0" applyNumberFormat="1" applyFont="1" applyFill="1" applyBorder="1" applyAlignment="1">
      <alignment horizontal="center" vertical="center" wrapText="1"/>
    </xf>
    <xf numFmtId="172" fontId="16" fillId="15" borderId="153" xfId="0" applyNumberFormat="1" applyFont="1" applyFill="1" applyBorder="1" applyAlignment="1">
      <alignment horizontal="center" vertical="center" wrapText="1"/>
    </xf>
    <xf numFmtId="0" fontId="11" fillId="0" borderId="43" xfId="0" applyFont="1" applyFill="1" applyBorder="1" applyAlignment="1">
      <alignment horizontal="center" vertical="center"/>
    </xf>
    <xf numFmtId="0" fontId="11" fillId="0" borderId="43" xfId="0" applyFont="1" applyFill="1" applyBorder="1" applyAlignment="1">
      <alignment horizontal="center" vertical="top" wrapText="1"/>
    </xf>
    <xf numFmtId="164" fontId="11" fillId="0" borderId="43" xfId="0" applyNumberFormat="1" applyFont="1" applyFill="1" applyBorder="1" applyAlignment="1">
      <alignment horizontal="center" vertical="center"/>
    </xf>
    <xf numFmtId="165" fontId="11" fillId="0" borderId="43" xfId="0" applyNumberFormat="1" applyFont="1" applyFill="1" applyBorder="1" applyAlignment="1">
      <alignment horizontal="center" vertical="center"/>
    </xf>
    <xf numFmtId="165" fontId="11" fillId="0" borderId="43" xfId="0" applyNumberFormat="1" applyFont="1" applyFill="1" applyBorder="1" applyAlignment="1">
      <alignment horizontal="left" vertical="center"/>
    </xf>
    <xf numFmtId="2" fontId="11" fillId="0" borderId="43" xfId="0" applyNumberFormat="1" applyFont="1" applyFill="1" applyBorder="1" applyAlignment="1">
      <alignment horizontal="center" vertical="center"/>
    </xf>
    <xf numFmtId="9" fontId="11" fillId="0" borderId="43" xfId="0" applyNumberFormat="1" applyFont="1" applyFill="1" applyBorder="1" applyAlignment="1">
      <alignment horizontal="center" vertical="center"/>
    </xf>
    <xf numFmtId="4" fontId="13" fillId="0" borderId="43" xfId="0" applyNumberFormat="1" applyFont="1" applyFill="1" applyBorder="1" applyAlignment="1">
      <alignment horizontal="center" vertical="center" wrapText="1"/>
    </xf>
    <xf numFmtId="165" fontId="11" fillId="0" borderId="43" xfId="0" applyNumberFormat="1" applyFont="1" applyFill="1" applyBorder="1" applyAlignment="1">
      <alignment vertical="center"/>
    </xf>
    <xf numFmtId="166" fontId="13" fillId="0" borderId="43" xfId="0" applyNumberFormat="1" applyFont="1" applyFill="1" applyBorder="1" applyAlignment="1">
      <alignment horizontal="center" vertical="center"/>
    </xf>
    <xf numFmtId="166" fontId="14" fillId="0" borderId="43" xfId="0" applyNumberFormat="1" applyFont="1" applyFill="1" applyBorder="1" applyAlignment="1">
      <alignment horizontal="center" vertical="center"/>
    </xf>
    <xf numFmtId="165" fontId="14" fillId="0" borderId="43" xfId="0" applyNumberFormat="1" applyFont="1" applyFill="1" applyBorder="1" applyAlignment="1">
      <alignment horizontal="center" vertical="center"/>
    </xf>
    <xf numFmtId="3" fontId="13" fillId="0" borderId="43" xfId="0" applyNumberFormat="1" applyFont="1" applyFill="1" applyBorder="1" applyAlignment="1">
      <alignment horizontal="center" vertical="center" wrapText="1"/>
    </xf>
    <xf numFmtId="9" fontId="15" fillId="0" borderId="43" xfId="0" applyNumberFormat="1" applyFont="1" applyFill="1" applyBorder="1" applyAlignment="1">
      <alignment horizontal="center" vertical="center"/>
    </xf>
    <xf numFmtId="10" fontId="15" fillId="0" borderId="43" xfId="0" applyNumberFormat="1" applyFont="1" applyFill="1" applyBorder="1" applyAlignment="1">
      <alignment horizontal="center" vertical="center" wrapText="1"/>
    </xf>
    <xf numFmtId="0" fontId="1" fillId="0" borderId="44" xfId="0" applyFont="1" applyFill="1" applyBorder="1" applyAlignment="1">
      <alignment horizontal="left" vertical="top" wrapText="1"/>
    </xf>
    <xf numFmtId="0" fontId="16" fillId="0" borderId="43" xfId="0" applyFont="1" applyFill="1" applyBorder="1" applyAlignment="1">
      <alignment horizontal="left" vertical="center" wrapText="1"/>
    </xf>
    <xf numFmtId="166" fontId="11" fillId="0" borderId="43" xfId="0" applyNumberFormat="1" applyFont="1" applyFill="1" applyBorder="1" applyAlignment="1">
      <alignment horizontal="center" vertical="center"/>
    </xf>
    <xf numFmtId="166" fontId="11" fillId="0" borderId="43" xfId="0" applyNumberFormat="1" applyFont="1" applyFill="1" applyBorder="1" applyAlignment="1">
      <alignment vertical="center"/>
    </xf>
    <xf numFmtId="167" fontId="13" fillId="0" borderId="43" xfId="0" applyNumberFormat="1" applyFont="1" applyFill="1" applyBorder="1" applyAlignment="1">
      <alignment horizontal="center" vertical="center" wrapText="1"/>
    </xf>
    <xf numFmtId="0" fontId="1" fillId="0" borderId="43" xfId="0" applyFont="1" applyFill="1" applyBorder="1" applyAlignment="1">
      <alignment horizontal="left" vertical="top" wrapText="1"/>
    </xf>
    <xf numFmtId="0" fontId="17" fillId="0" borderId="43" xfId="0" applyFont="1" applyFill="1" applyBorder="1" applyAlignment="1">
      <alignment horizontal="center" vertical="top" wrapText="1"/>
    </xf>
    <xf numFmtId="164" fontId="11" fillId="0" borderId="43" xfId="0" applyNumberFormat="1" applyFont="1" applyFill="1" applyBorder="1" applyAlignment="1">
      <alignment horizontal="left" vertical="center"/>
    </xf>
    <xf numFmtId="164" fontId="11" fillId="0" borderId="43" xfId="0" applyNumberFormat="1" applyFont="1" applyFill="1" applyBorder="1" applyAlignment="1">
      <alignment vertical="center"/>
    </xf>
    <xf numFmtId="168" fontId="14" fillId="0" borderId="43" xfId="0" applyNumberFormat="1" applyFont="1" applyFill="1" applyBorder="1" applyAlignment="1">
      <alignment vertical="center"/>
    </xf>
    <xf numFmtId="168" fontId="14" fillId="0" borderId="43" xfId="0" applyNumberFormat="1" applyFont="1" applyFill="1" applyBorder="1" applyAlignment="1">
      <alignment horizontal="center" vertical="center"/>
    </xf>
    <xf numFmtId="169" fontId="13" fillId="0" borderId="43" xfId="0" applyNumberFormat="1" applyFont="1" applyFill="1" applyBorder="1" applyAlignment="1">
      <alignment horizontal="center" vertical="center" wrapText="1"/>
    </xf>
    <xf numFmtId="164" fontId="14" fillId="0" borderId="43" xfId="0" applyNumberFormat="1" applyFont="1" applyFill="1" applyBorder="1" applyAlignment="1">
      <alignment horizontal="center" vertical="center"/>
    </xf>
    <xf numFmtId="165" fontId="12" fillId="0" borderId="43" xfId="0" applyNumberFormat="1" applyFont="1" applyFill="1" applyBorder="1" applyAlignment="1">
      <alignment horizontal="center" vertical="center"/>
    </xf>
    <xf numFmtId="1" fontId="12" fillId="0" borderId="43" xfId="0" applyNumberFormat="1" applyFont="1" applyFill="1" applyBorder="1" applyAlignment="1">
      <alignment horizontal="center" vertical="center"/>
    </xf>
    <xf numFmtId="168" fontId="13" fillId="0" borderId="43" xfId="0" applyNumberFormat="1" applyFont="1" applyFill="1" applyBorder="1" applyAlignment="1">
      <alignment horizontal="center" vertical="center"/>
    </xf>
    <xf numFmtId="164" fontId="12" fillId="0" borderId="43" xfId="0" applyNumberFormat="1" applyFont="1" applyFill="1" applyBorder="1" applyAlignment="1">
      <alignment horizontal="center" vertical="center"/>
    </xf>
    <xf numFmtId="164" fontId="13" fillId="0" borderId="43" xfId="0" applyNumberFormat="1" applyFont="1" applyFill="1" applyBorder="1" applyAlignment="1">
      <alignment horizontal="center" vertical="center"/>
    </xf>
    <xf numFmtId="39" fontId="14" fillId="0" borderId="43" xfId="0" applyNumberFormat="1" applyFont="1" applyFill="1" applyBorder="1" applyAlignment="1">
      <alignment horizontal="center" vertical="center"/>
    </xf>
    <xf numFmtId="37" fontId="14" fillId="0" borderId="43" xfId="0" applyNumberFormat="1" applyFont="1" applyFill="1" applyBorder="1" applyAlignment="1">
      <alignment horizontal="center" vertical="center"/>
    </xf>
    <xf numFmtId="37" fontId="14" fillId="0" borderId="46" xfId="0" applyNumberFormat="1" applyFont="1" applyFill="1" applyBorder="1" applyAlignment="1">
      <alignment horizontal="center" vertical="center"/>
    </xf>
    <xf numFmtId="0" fontId="1" fillId="0" borderId="46" xfId="0" applyFont="1" applyFill="1" applyBorder="1" applyAlignment="1">
      <alignment horizontal="left" vertical="top" wrapText="1"/>
    </xf>
    <xf numFmtId="0" fontId="58" fillId="0" borderId="107" xfId="2"/>
    <xf numFmtId="0" fontId="38" fillId="0" borderId="111" xfId="2" applyFont="1" applyBorder="1" applyAlignment="1">
      <alignment horizontal="left" vertical="center" wrapText="1"/>
    </xf>
    <xf numFmtId="0" fontId="38" fillId="0" borderId="109" xfId="2" applyFont="1" applyBorder="1" applyAlignment="1">
      <alignment horizontal="left" vertical="center" wrapText="1"/>
    </xf>
    <xf numFmtId="0" fontId="38" fillId="2" borderId="109" xfId="2" applyFont="1" applyFill="1" applyBorder="1" applyAlignment="1">
      <alignment horizontal="left" vertical="center" wrapText="1"/>
    </xf>
    <xf numFmtId="0" fontId="38" fillId="0" borderId="138" xfId="2" applyFont="1" applyBorder="1" applyAlignment="1">
      <alignment horizontal="left" vertical="center" wrapText="1"/>
    </xf>
    <xf numFmtId="0" fontId="10" fillId="0" borderId="109" xfId="2" applyFont="1" applyBorder="1" applyAlignment="1">
      <alignment horizontal="left" vertical="center" wrapText="1"/>
    </xf>
    <xf numFmtId="0" fontId="10" fillId="2" borderId="109" xfId="2" applyFont="1" applyFill="1" applyBorder="1" applyAlignment="1">
      <alignment horizontal="left" vertical="center" wrapText="1"/>
    </xf>
    <xf numFmtId="0" fontId="12" fillId="0" borderId="109" xfId="2" applyFont="1" applyBorder="1" applyAlignment="1">
      <alignment horizontal="left" vertical="center" wrapText="1"/>
    </xf>
    <xf numFmtId="0" fontId="10" fillId="0" borderId="95" xfId="2" applyFont="1" applyBorder="1" applyAlignment="1">
      <alignment horizontal="left" vertical="center" wrapText="1"/>
    </xf>
    <xf numFmtId="0" fontId="34" fillId="4" borderId="67" xfId="2" applyFont="1" applyFill="1" applyBorder="1" applyAlignment="1">
      <alignment horizontal="center" vertical="center" wrapText="1"/>
    </xf>
    <xf numFmtId="0" fontId="34" fillId="4" borderId="127" xfId="2" applyFont="1" applyFill="1" applyBorder="1" applyAlignment="1">
      <alignment vertical="center" wrapText="1"/>
    </xf>
    <xf numFmtId="0" fontId="34" fillId="4" borderId="119" xfId="2" applyFont="1" applyFill="1" applyBorder="1" applyAlignment="1">
      <alignment vertical="center" wrapText="1"/>
    </xf>
    <xf numFmtId="0" fontId="34" fillId="4" borderId="110" xfId="2" applyFont="1" applyFill="1" applyBorder="1" applyAlignment="1">
      <alignment vertical="center" wrapText="1"/>
    </xf>
    <xf numFmtId="0" fontId="34" fillId="4" borderId="127" xfId="2" applyFont="1" applyFill="1" applyBorder="1" applyAlignment="1">
      <alignment horizontal="center" vertical="center" wrapText="1"/>
    </xf>
    <xf numFmtId="10" fontId="26" fillId="4" borderId="119" xfId="2" applyNumberFormat="1" applyFont="1" applyFill="1" applyBorder="1" applyAlignment="1">
      <alignment horizontal="center" vertical="center" wrapText="1"/>
    </xf>
    <xf numFmtId="0" fontId="26" fillId="4" borderId="119" xfId="2" applyFont="1" applyFill="1" applyBorder="1" applyAlignment="1">
      <alignment horizontal="center" vertical="center" wrapText="1"/>
    </xf>
    <xf numFmtId="0" fontId="34" fillId="4" borderId="119" xfId="2" applyFont="1" applyFill="1" applyBorder="1" applyAlignment="1">
      <alignment horizontal="center" vertical="top" wrapText="1"/>
    </xf>
    <xf numFmtId="0" fontId="39" fillId="4" borderId="87" xfId="2" applyFont="1" applyFill="1" applyBorder="1" applyAlignment="1">
      <alignment horizontal="center" vertical="center" wrapText="1"/>
    </xf>
    <xf numFmtId="0" fontId="34" fillId="4" borderId="46" xfId="2" applyFont="1" applyFill="1" applyBorder="1" applyAlignment="1">
      <alignment horizontal="center" vertical="center" wrapText="1"/>
    </xf>
    <xf numFmtId="0" fontId="34" fillId="4" borderId="46" xfId="2" applyFont="1" applyFill="1" applyBorder="1" applyAlignment="1">
      <alignment horizontal="center" vertical="top" wrapText="1"/>
    </xf>
    <xf numFmtId="0" fontId="34" fillId="4" borderId="111" xfId="2" applyFont="1" applyFill="1" applyBorder="1" applyAlignment="1">
      <alignment horizontal="center" vertical="top" wrapText="1"/>
    </xf>
    <xf numFmtId="0" fontId="41" fillId="4" borderId="70" xfId="2" applyFont="1" applyFill="1" applyBorder="1" applyAlignment="1">
      <alignment horizontal="left" vertical="center" wrapText="1"/>
    </xf>
    <xf numFmtId="3" fontId="26" fillId="0" borderId="43" xfId="2" applyNumberFormat="1" applyFont="1" applyBorder="1" applyAlignment="1">
      <alignment horizontal="center" vertical="center"/>
    </xf>
    <xf numFmtId="3" fontId="26" fillId="2" borderId="43" xfId="2" applyNumberFormat="1" applyFont="1" applyFill="1" applyBorder="1" applyAlignment="1">
      <alignment horizontal="center" vertical="center"/>
    </xf>
    <xf numFmtId="3" fontId="26" fillId="2" borderId="43" xfId="2" applyNumberFormat="1" applyFont="1" applyFill="1" applyBorder="1" applyAlignment="1">
      <alignment horizontal="center" vertical="center" wrapText="1"/>
    </xf>
    <xf numFmtId="4" fontId="29" fillId="2" borderId="43" xfId="2" applyNumberFormat="1" applyFont="1" applyFill="1" applyBorder="1" applyAlignment="1">
      <alignment horizontal="center" vertical="center"/>
    </xf>
    <xf numFmtId="4" fontId="1" fillId="0" borderId="107" xfId="2" applyNumberFormat="1" applyFont="1"/>
    <xf numFmtId="172" fontId="41" fillId="5" borderId="43" xfId="2" applyNumberFormat="1" applyFont="1" applyFill="1" applyBorder="1" applyAlignment="1">
      <alignment horizontal="left" vertical="center" wrapText="1"/>
    </xf>
    <xf numFmtId="0" fontId="41" fillId="4" borderId="43" xfId="2" applyFont="1" applyFill="1" applyBorder="1" applyAlignment="1">
      <alignment horizontal="left" vertical="center" wrapText="1"/>
    </xf>
    <xf numFmtId="4" fontId="26" fillId="2" borderId="43" xfId="2" applyNumberFormat="1" applyFont="1" applyFill="1" applyBorder="1" applyAlignment="1">
      <alignment horizontal="center" vertical="center"/>
    </xf>
    <xf numFmtId="0" fontId="26" fillId="2" borderId="43" xfId="2" applyFont="1" applyFill="1" applyBorder="1" applyAlignment="1">
      <alignment horizontal="center" vertical="center"/>
    </xf>
    <xf numFmtId="4" fontId="26" fillId="0" borderId="43" xfId="2" applyNumberFormat="1" applyFont="1" applyBorder="1" applyAlignment="1">
      <alignment horizontal="center" vertical="center"/>
    </xf>
    <xf numFmtId="3" fontId="26" fillId="0" borderId="43" xfId="2" applyNumberFormat="1" applyFont="1" applyBorder="1" applyAlignment="1">
      <alignment horizontal="center" vertical="center" wrapText="1"/>
    </xf>
    <xf numFmtId="0" fontId="1" fillId="2" borderId="43" xfId="2" applyFont="1" applyFill="1" applyBorder="1"/>
    <xf numFmtId="3" fontId="44" fillId="2" borderId="43" xfId="2" applyNumberFormat="1" applyFont="1" applyFill="1" applyBorder="1" applyAlignment="1">
      <alignment horizontal="center" vertical="center" wrapText="1"/>
    </xf>
    <xf numFmtId="0" fontId="26" fillId="0" borderId="43" xfId="2" applyFont="1" applyBorder="1" applyAlignment="1">
      <alignment horizontal="center" vertical="center"/>
    </xf>
    <xf numFmtId="0" fontId="16" fillId="2" borderId="43" xfId="2" applyFont="1" applyFill="1" applyBorder="1" applyAlignment="1">
      <alignment horizontal="center" vertical="center"/>
    </xf>
    <xf numFmtId="3" fontId="29" fillId="2" borderId="43" xfId="2" applyNumberFormat="1" applyFont="1" applyFill="1" applyBorder="1" applyAlignment="1">
      <alignment horizontal="center" vertical="center"/>
    </xf>
    <xf numFmtId="181" fontId="26" fillId="2" borderId="43" xfId="2" applyNumberFormat="1" applyFont="1" applyFill="1" applyBorder="1" applyAlignment="1">
      <alignment horizontal="center" vertical="center"/>
    </xf>
    <xf numFmtId="39" fontId="26" fillId="0" borderId="43" xfId="2" applyNumberFormat="1" applyFont="1" applyBorder="1" applyAlignment="1">
      <alignment horizontal="center" vertical="center" wrapText="1"/>
    </xf>
    <xf numFmtId="39" fontId="26" fillId="2" borderId="43" xfId="2" applyNumberFormat="1" applyFont="1" applyFill="1" applyBorder="1" applyAlignment="1">
      <alignment horizontal="center" vertical="center" wrapText="1"/>
    </xf>
    <xf numFmtId="4" fontId="26" fillId="0" borderId="43" xfId="2" applyNumberFormat="1" applyFont="1" applyBorder="1" applyAlignment="1">
      <alignment horizontal="center" vertical="center" wrapText="1"/>
    </xf>
    <xf numFmtId="4" fontId="26" fillId="2" borderId="43" xfId="2" applyNumberFormat="1" applyFont="1" applyFill="1" applyBorder="1" applyAlignment="1">
      <alignment horizontal="center" vertical="center" wrapText="1"/>
    </xf>
    <xf numFmtId="39" fontId="16" fillId="2" borderId="43" xfId="2" applyNumberFormat="1" applyFont="1" applyFill="1" applyBorder="1" applyAlignment="1">
      <alignment horizontal="center" vertical="center" wrapText="1"/>
    </xf>
    <xf numFmtId="4" fontId="29" fillId="2" borderId="43" xfId="2" applyNumberFormat="1" applyFont="1" applyFill="1" applyBorder="1" applyAlignment="1">
      <alignment horizontal="center" vertical="center" wrapText="1"/>
    </xf>
    <xf numFmtId="39" fontId="26" fillId="2" borderId="43" xfId="2" applyNumberFormat="1" applyFont="1" applyFill="1" applyBorder="1" applyAlignment="1">
      <alignment horizontal="center" vertical="center"/>
    </xf>
    <xf numFmtId="39" fontId="26" fillId="0" borderId="43" xfId="2" applyNumberFormat="1" applyFont="1" applyBorder="1" applyAlignment="1">
      <alignment horizontal="center" vertical="center"/>
    </xf>
    <xf numFmtId="4" fontId="34" fillId="2" borderId="120" xfId="2" applyNumberFormat="1" applyFont="1" applyFill="1" applyBorder="1" applyAlignment="1">
      <alignment horizontal="center" vertical="center"/>
    </xf>
    <xf numFmtId="4" fontId="16" fillId="2" borderId="43" xfId="2" applyNumberFormat="1" applyFont="1" applyFill="1" applyBorder="1" applyAlignment="1">
      <alignment horizontal="center" vertical="center"/>
    </xf>
    <xf numFmtId="0" fontId="1" fillId="0" borderId="43" xfId="2" applyFont="1" applyBorder="1"/>
    <xf numFmtId="3" fontId="16" fillId="2" borderId="43" xfId="2" applyNumberFormat="1" applyFont="1" applyFill="1" applyBorder="1" applyAlignment="1">
      <alignment horizontal="center" vertical="center"/>
    </xf>
    <xf numFmtId="0" fontId="1" fillId="0" borderId="107" xfId="2" applyFont="1"/>
    <xf numFmtId="4" fontId="26" fillId="2" borderId="120" xfId="2" applyNumberFormat="1" applyFont="1" applyFill="1" applyBorder="1" applyAlignment="1">
      <alignment horizontal="center" vertical="center"/>
    </xf>
    <xf numFmtId="0" fontId="1" fillId="0" borderId="43" xfId="2" applyFont="1" applyBorder="1" applyAlignment="1">
      <alignment horizontal="left" vertical="top"/>
    </xf>
    <xf numFmtId="4" fontId="34" fillId="0" borderId="76" xfId="2" applyNumberFormat="1" applyFont="1" applyBorder="1" applyAlignment="1">
      <alignment horizontal="center" vertical="center"/>
    </xf>
    <xf numFmtId="4" fontId="34" fillId="0" borderId="120" xfId="2" applyNumberFormat="1" applyFont="1" applyBorder="1" applyAlignment="1">
      <alignment horizontal="center" vertical="center"/>
    </xf>
    <xf numFmtId="3" fontId="26" fillId="0" borderId="120" xfId="2" applyNumberFormat="1" applyFont="1" applyBorder="1" applyAlignment="1">
      <alignment horizontal="center" vertical="center"/>
    </xf>
    <xf numFmtId="3" fontId="26" fillId="2" borderId="120" xfId="2" applyNumberFormat="1" applyFont="1" applyFill="1" applyBorder="1" applyAlignment="1">
      <alignment horizontal="center" vertical="center"/>
    </xf>
    <xf numFmtId="4" fontId="26" fillId="0" borderId="120" xfId="2" applyNumberFormat="1" applyFont="1" applyBorder="1" applyAlignment="1">
      <alignment horizontal="center" vertical="center"/>
    </xf>
    <xf numFmtId="4" fontId="16" fillId="2" borderId="43" xfId="2" applyNumberFormat="1" applyFont="1" applyFill="1" applyBorder="1" applyAlignment="1">
      <alignment horizontal="center" vertical="center" wrapText="1"/>
    </xf>
    <xf numFmtId="167" fontId="26" fillId="2" borderId="43" xfId="2" applyNumberFormat="1" applyFont="1" applyFill="1" applyBorder="1" applyAlignment="1">
      <alignment horizontal="center" vertical="center"/>
    </xf>
    <xf numFmtId="167" fontId="26" fillId="2" borderId="43" xfId="2" applyNumberFormat="1" applyFont="1" applyFill="1" applyBorder="1" applyAlignment="1">
      <alignment horizontal="center" vertical="center" wrapText="1"/>
    </xf>
    <xf numFmtId="37" fontId="26" fillId="0" borderId="43" xfId="2" applyNumberFormat="1" applyFont="1" applyBorder="1" applyAlignment="1">
      <alignment horizontal="center" vertical="center" wrapText="1"/>
    </xf>
    <xf numFmtId="3" fontId="16" fillId="2" borderId="43" xfId="2" applyNumberFormat="1" applyFont="1" applyFill="1" applyBorder="1" applyAlignment="1">
      <alignment horizontal="center" vertical="center" wrapText="1"/>
    </xf>
    <xf numFmtId="37" fontId="26" fillId="2" borderId="43" xfId="2" applyNumberFormat="1" applyFont="1" applyFill="1" applyBorder="1" applyAlignment="1">
      <alignment horizontal="center" vertical="center" wrapText="1"/>
    </xf>
    <xf numFmtId="0" fontId="26" fillId="0" borderId="43" xfId="2" applyFont="1" applyBorder="1"/>
    <xf numFmtId="4" fontId="34" fillId="2" borderId="43" xfId="2" applyNumberFormat="1" applyFont="1" applyFill="1" applyBorder="1" applyAlignment="1">
      <alignment horizontal="center" vertical="center"/>
    </xf>
    <xf numFmtId="37" fontId="26" fillId="0" borderId="43" xfId="2" applyNumberFormat="1" applyFont="1" applyBorder="1" applyAlignment="1">
      <alignment horizontal="center" vertical="center"/>
    </xf>
    <xf numFmtId="3" fontId="26" fillId="2" borderId="120" xfId="2" applyNumberFormat="1" applyFont="1" applyFill="1" applyBorder="1" applyAlignment="1">
      <alignment horizontal="center" vertical="center" wrapText="1"/>
    </xf>
    <xf numFmtId="37" fontId="26" fillId="2" borderId="43" xfId="2" applyNumberFormat="1" applyFont="1" applyFill="1" applyBorder="1" applyAlignment="1">
      <alignment horizontal="center" vertical="center"/>
    </xf>
    <xf numFmtId="39" fontId="26" fillId="2" borderId="120" xfId="2" applyNumberFormat="1" applyFont="1" applyFill="1" applyBorder="1" applyAlignment="1">
      <alignment horizontal="center" vertical="center"/>
    </xf>
    <xf numFmtId="37" fontId="16" fillId="2" borderId="43" xfId="2" applyNumberFormat="1" applyFont="1" applyFill="1" applyBorder="1" applyAlignment="1">
      <alignment horizontal="center" vertical="center"/>
    </xf>
    <xf numFmtId="169" fontId="26" fillId="2" borderId="43" xfId="2" applyNumberFormat="1" applyFont="1" applyFill="1" applyBorder="1" applyAlignment="1">
      <alignment horizontal="center" vertical="center"/>
    </xf>
    <xf numFmtId="39" fontId="26" fillId="0" borderId="120" xfId="2" applyNumberFormat="1" applyFont="1" applyBorder="1" applyAlignment="1">
      <alignment horizontal="center" vertical="center"/>
    </xf>
    <xf numFmtId="3" fontId="26" fillId="0" borderId="120" xfId="2" applyNumberFormat="1" applyFont="1" applyBorder="1" applyAlignment="1">
      <alignment horizontal="center" vertical="center" wrapText="1"/>
    </xf>
    <xf numFmtId="4" fontId="26" fillId="2" borderId="120" xfId="2" applyNumberFormat="1" applyFont="1" applyFill="1" applyBorder="1" applyAlignment="1">
      <alignment horizontal="center" vertical="center" wrapText="1"/>
    </xf>
    <xf numFmtId="4" fontId="26" fillId="0" borderId="76" xfId="2" applyNumberFormat="1" applyFont="1" applyBorder="1" applyAlignment="1">
      <alignment horizontal="center" vertical="center"/>
    </xf>
    <xf numFmtId="0" fontId="1" fillId="2" borderId="107" xfId="2" applyFont="1" applyFill="1" applyBorder="1"/>
    <xf numFmtId="167" fontId="26" fillId="0" borderId="43" xfId="2" applyNumberFormat="1" applyFont="1" applyBorder="1" applyAlignment="1">
      <alignment horizontal="center" vertical="center"/>
    </xf>
    <xf numFmtId="4" fontId="49" fillId="2" borderId="43" xfId="2" applyNumberFormat="1" applyFont="1" applyFill="1" applyBorder="1" applyAlignment="1">
      <alignment horizontal="center" vertical="center" wrapText="1"/>
    </xf>
    <xf numFmtId="167" fontId="16" fillId="2" borderId="43" xfId="2" applyNumberFormat="1" applyFont="1" applyFill="1" applyBorder="1" applyAlignment="1">
      <alignment horizontal="center" vertical="center" wrapText="1"/>
    </xf>
    <xf numFmtId="167" fontId="29" fillId="2" borderId="43" xfId="2" applyNumberFormat="1" applyFont="1" applyFill="1" applyBorder="1" applyAlignment="1">
      <alignment horizontal="center" vertical="center"/>
    </xf>
    <xf numFmtId="169" fontId="26" fillId="2" borderId="43" xfId="2" applyNumberFormat="1" applyFont="1" applyFill="1" applyBorder="1" applyAlignment="1">
      <alignment horizontal="center" vertical="center" wrapText="1"/>
    </xf>
    <xf numFmtId="177" fontId="26" fillId="2" borderId="43" xfId="2" applyNumberFormat="1" applyFont="1" applyFill="1" applyBorder="1" applyAlignment="1">
      <alignment horizontal="center" vertical="center" wrapText="1"/>
    </xf>
    <xf numFmtId="182" fontId="1" fillId="2" borderId="107" xfId="2" applyNumberFormat="1" applyFont="1" applyFill="1" applyBorder="1" applyAlignment="1">
      <alignment horizontal="center" vertical="center"/>
    </xf>
    <xf numFmtId="177" fontId="26" fillId="0" borderId="43" xfId="2" applyNumberFormat="1" applyFont="1" applyBorder="1" applyAlignment="1">
      <alignment horizontal="center" vertical="center"/>
    </xf>
    <xf numFmtId="0" fontId="1" fillId="2" borderId="43" xfId="2" applyFont="1" applyFill="1" applyBorder="1" applyAlignment="1">
      <alignment horizontal="center" vertical="center"/>
    </xf>
    <xf numFmtId="0" fontId="17" fillId="2" borderId="43" xfId="2" applyFont="1" applyFill="1" applyBorder="1" applyAlignment="1">
      <alignment horizontal="center" vertical="center"/>
    </xf>
    <xf numFmtId="183" fontId="1" fillId="2" borderId="107" xfId="2" applyNumberFormat="1" applyFont="1" applyFill="1" applyBorder="1"/>
    <xf numFmtId="177" fontId="26" fillId="2" borderId="43" xfId="2" applyNumberFormat="1" applyFont="1" applyFill="1" applyBorder="1" applyAlignment="1">
      <alignment horizontal="center" vertical="center"/>
    </xf>
    <xf numFmtId="0" fontId="44" fillId="4" borderId="123" xfId="2" applyFont="1" applyFill="1" applyBorder="1" applyAlignment="1">
      <alignment horizontal="left" vertical="center" wrapText="1"/>
    </xf>
    <xf numFmtId="174" fontId="26" fillId="4" borderId="43" xfId="2" applyNumberFormat="1" applyFont="1" applyFill="1" applyBorder="1" applyAlignment="1">
      <alignment horizontal="center" vertical="center" wrapText="1"/>
    </xf>
    <xf numFmtId="0" fontId="26" fillId="4" borderId="43" xfId="2" applyFont="1" applyFill="1" applyBorder="1" applyAlignment="1">
      <alignment vertical="center" wrapText="1"/>
    </xf>
    <xf numFmtId="0" fontId="26" fillId="4" borderId="43" xfId="2" applyFont="1" applyFill="1" applyBorder="1" applyAlignment="1">
      <alignment horizontal="center" vertical="center" wrapText="1"/>
    </xf>
    <xf numFmtId="174" fontId="29" fillId="4" borderId="43" xfId="2" applyNumberFormat="1" applyFont="1" applyFill="1" applyBorder="1" applyAlignment="1">
      <alignment horizontal="center" vertical="center" wrapText="1"/>
    </xf>
    <xf numFmtId="0" fontId="44" fillId="4" borderId="111" xfId="2" applyFont="1" applyFill="1" applyBorder="1" applyAlignment="1">
      <alignment horizontal="left" vertical="center" wrapText="1"/>
    </xf>
    <xf numFmtId="4" fontId="1" fillId="2" borderId="107" xfId="2" applyNumberFormat="1" applyFont="1" applyFill="1" applyBorder="1"/>
    <xf numFmtId="0" fontId="26" fillId="0" borderId="107" xfId="2" applyFont="1" applyAlignment="1">
      <alignment vertical="center"/>
    </xf>
    <xf numFmtId="0" fontId="22" fillId="0" borderId="107" xfId="2" applyFont="1"/>
    <xf numFmtId="0" fontId="1" fillId="0" borderId="107" xfId="2" applyFont="1" applyAlignment="1">
      <alignment horizontal="center"/>
    </xf>
    <xf numFmtId="0" fontId="1" fillId="2" borderId="107" xfId="2" applyFont="1" applyFill="1" applyBorder="1" applyAlignment="1">
      <alignment horizontal="center"/>
    </xf>
    <xf numFmtId="0" fontId="22" fillId="10" borderId="43" xfId="2" applyFont="1" applyFill="1" applyBorder="1" applyAlignment="1">
      <alignment horizontal="center" vertical="center"/>
    </xf>
    <xf numFmtId="0" fontId="1" fillId="0" borderId="43" xfId="2" applyFont="1" applyBorder="1" applyAlignment="1">
      <alignment horizontal="center" vertical="center"/>
    </xf>
    <xf numFmtId="166" fontId="12" fillId="0" borderId="107" xfId="2" applyNumberFormat="1" applyFont="1" applyAlignment="1">
      <alignment horizontal="center"/>
    </xf>
    <xf numFmtId="166" fontId="12" fillId="2" borderId="107" xfId="2" applyNumberFormat="1" applyFont="1" applyFill="1" applyBorder="1" applyAlignment="1">
      <alignment horizontal="center"/>
    </xf>
    <xf numFmtId="0" fontId="29" fillId="0" borderId="98" xfId="2" applyFont="1" applyFill="1" applyBorder="1" applyAlignment="1">
      <alignment vertical="center" wrapText="1"/>
    </xf>
    <xf numFmtId="0" fontId="29" fillId="0" borderId="134" xfId="2" applyFont="1" applyFill="1" applyBorder="1" applyAlignment="1">
      <alignment vertical="center" wrapText="1"/>
    </xf>
    <xf numFmtId="0" fontId="46" fillId="0" borderId="134" xfId="2" applyFont="1" applyFill="1" applyBorder="1" applyAlignment="1">
      <alignment vertical="center" wrapText="1"/>
    </xf>
    <xf numFmtId="0" fontId="29" fillId="0" borderId="70" xfId="2" applyFont="1" applyFill="1" applyBorder="1" applyAlignment="1">
      <alignment vertical="center" wrapText="1"/>
    </xf>
    <xf numFmtId="0" fontId="47" fillId="0" borderId="134" xfId="2" applyFont="1" applyFill="1" applyBorder="1" applyAlignment="1">
      <alignment vertical="center" wrapText="1"/>
    </xf>
    <xf numFmtId="0" fontId="27" fillId="0" borderId="134" xfId="2" applyFont="1" applyFill="1" applyBorder="1" applyAlignment="1">
      <alignment vertical="center" wrapText="1"/>
    </xf>
    <xf numFmtId="0" fontId="48" fillId="0" borderId="134" xfId="2" applyFont="1" applyFill="1" applyBorder="1" applyAlignment="1">
      <alignment vertical="center" wrapText="1"/>
    </xf>
    <xf numFmtId="3" fontId="26" fillId="0" borderId="43" xfId="2" applyNumberFormat="1" applyFont="1" applyFill="1" applyBorder="1" applyAlignment="1">
      <alignment vertical="center" wrapText="1"/>
    </xf>
    <xf numFmtId="4" fontId="26" fillId="0" borderId="121" xfId="2" applyNumberFormat="1" applyFont="1" applyFill="1" applyBorder="1" applyAlignment="1">
      <alignment vertical="top" wrapText="1"/>
    </xf>
    <xf numFmtId="4" fontId="26" fillId="0" borderId="43" xfId="2" applyNumberFormat="1" applyFont="1" applyFill="1" applyBorder="1" applyAlignment="1">
      <alignment vertical="top" wrapText="1"/>
    </xf>
    <xf numFmtId="0" fontId="26" fillId="0" borderId="43" xfId="2" applyFont="1" applyFill="1" applyBorder="1" applyAlignment="1">
      <alignment horizontal="center" vertical="center"/>
    </xf>
    <xf numFmtId="4" fontId="26" fillId="0" borderId="43" xfId="2" applyNumberFormat="1" applyFont="1" applyFill="1" applyBorder="1" applyAlignment="1">
      <alignment horizontal="center" vertical="center" wrapText="1"/>
    </xf>
    <xf numFmtId="0" fontId="1" fillId="0" borderId="107" xfId="2" applyFont="1" applyFill="1" applyBorder="1"/>
    <xf numFmtId="0" fontId="2" fillId="0" borderId="2" xfId="0" applyFont="1" applyBorder="1" applyAlignment="1">
      <alignment horizontal="center"/>
    </xf>
    <xf numFmtId="0" fontId="3" fillId="0" borderId="3" xfId="0" applyFont="1" applyBorder="1"/>
    <xf numFmtId="0" fontId="3" fillId="0" borderId="4" xfId="0" applyFont="1" applyBorder="1"/>
    <xf numFmtId="0" fontId="3" fillId="0" borderId="8" xfId="0" applyFont="1" applyBorder="1"/>
    <xf numFmtId="0" fontId="0" fillId="0" borderId="0" xfId="0"/>
    <xf numFmtId="0" fontId="3" fillId="0" borderId="9" xfId="0" applyFont="1" applyBorder="1"/>
    <xf numFmtId="0" fontId="3" fillId="0" borderId="13" xfId="0" applyFont="1" applyBorder="1"/>
    <xf numFmtId="0" fontId="3" fillId="0" borderId="14" xfId="0" applyFont="1" applyBorder="1"/>
    <xf numFmtId="0" fontId="3" fillId="0" borderId="15" xfId="0" applyFont="1" applyBorder="1"/>
    <xf numFmtId="0" fontId="4" fillId="4" borderId="5" xfId="0" applyFont="1" applyFill="1" applyBorder="1" applyAlignment="1">
      <alignment horizontal="center" vertical="center" wrapText="1"/>
    </xf>
    <xf numFmtId="0" fontId="3" fillId="0" borderId="6" xfId="0" applyFont="1" applyBorder="1"/>
    <xf numFmtId="0" fontId="3" fillId="0" borderId="7" xfId="0" applyFont="1" applyBorder="1"/>
    <xf numFmtId="0" fontId="5" fillId="4" borderId="10" xfId="0" applyFont="1" applyFill="1" applyBorder="1" applyAlignment="1">
      <alignment horizontal="center"/>
    </xf>
    <xf numFmtId="0" fontId="3" fillId="0" borderId="11" xfId="0" applyFont="1" applyBorder="1"/>
    <xf numFmtId="0" fontId="3" fillId="0" borderId="12" xfId="0" applyFont="1" applyBorder="1"/>
    <xf numFmtId="0" fontId="6" fillId="2" borderId="16" xfId="0" applyFont="1" applyFill="1" applyBorder="1" applyAlignment="1">
      <alignment vertical="center" wrapText="1"/>
    </xf>
    <xf numFmtId="0" fontId="3" fillId="0" borderId="17" xfId="0" applyFont="1" applyBorder="1"/>
    <xf numFmtId="0" fontId="3" fillId="0" borderId="18" xfId="0" applyFont="1" applyBorder="1"/>
    <xf numFmtId="0" fontId="6" fillId="2" borderId="19" xfId="0" applyFont="1" applyFill="1" applyBorder="1" applyAlignment="1">
      <alignment horizontal="left" vertical="center" wrapText="1"/>
    </xf>
    <xf numFmtId="0" fontId="3" fillId="0" borderId="20" xfId="0" applyFont="1" applyBorder="1"/>
    <xf numFmtId="0" fontId="8" fillId="4" borderId="21" xfId="0" applyFont="1" applyFill="1" applyBorder="1" applyAlignment="1">
      <alignment horizontal="left" vertical="center" wrapText="1"/>
    </xf>
    <xf numFmtId="0" fontId="8" fillId="0" borderId="19" xfId="0" applyFont="1" applyBorder="1" applyAlignment="1">
      <alignment horizontal="left" vertical="center" wrapText="1"/>
    </xf>
    <xf numFmtId="0" fontId="8" fillId="0" borderId="13" xfId="0" applyFont="1" applyBorder="1" applyAlignment="1">
      <alignment horizontal="left" vertical="center" wrapText="1"/>
    </xf>
    <xf numFmtId="0" fontId="9" fillId="4" borderId="19"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3" fillId="0" borderId="28" xfId="0" applyFont="1" applyBorder="1"/>
    <xf numFmtId="0" fontId="3" fillId="0" borderId="40" xfId="0" applyFont="1" applyBorder="1"/>
    <xf numFmtId="0" fontId="10" fillId="4" borderId="25" xfId="0" applyFont="1" applyFill="1" applyBorder="1" applyAlignment="1">
      <alignment horizontal="center" vertical="center" wrapText="1"/>
    </xf>
    <xf numFmtId="0" fontId="3" fillId="0" borderId="29" xfId="0" applyFont="1" applyBorder="1"/>
    <xf numFmtId="0" fontId="3" fillId="0" borderId="41" xfId="0" applyFont="1" applyBorder="1"/>
    <xf numFmtId="0" fontId="9" fillId="6" borderId="19" xfId="0" applyFont="1" applyFill="1" applyBorder="1" applyAlignment="1">
      <alignment horizontal="center" vertical="center"/>
    </xf>
    <xf numFmtId="0" fontId="9" fillId="6" borderId="16" xfId="0" applyFont="1" applyFill="1" applyBorder="1" applyAlignment="1">
      <alignment horizontal="center" vertical="center"/>
    </xf>
    <xf numFmtId="0" fontId="9" fillId="4" borderId="16"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3" fillId="0" borderId="26" xfId="0" applyFont="1" applyBorder="1"/>
    <xf numFmtId="0" fontId="3" fillId="0" borderId="38" xfId="0" applyFont="1" applyBorder="1"/>
    <xf numFmtId="0" fontId="10" fillId="6" borderId="22"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3" fillId="0" borderId="27" xfId="0" applyFont="1" applyBorder="1"/>
    <xf numFmtId="0" fontId="3" fillId="0" borderId="39" xfId="0" applyFont="1" applyBorder="1"/>
    <xf numFmtId="0" fontId="22" fillId="10" borderId="47" xfId="0" applyFont="1" applyFill="1" applyBorder="1" applyAlignment="1">
      <alignment horizontal="center" vertical="center"/>
    </xf>
    <xf numFmtId="0" fontId="3" fillId="0" borderId="48" xfId="0" applyFont="1" applyBorder="1"/>
    <xf numFmtId="0" fontId="3" fillId="0" borderId="49" xfId="0" applyFont="1" applyBorder="1"/>
    <xf numFmtId="0" fontId="1" fillId="2" borderId="47" xfId="0" applyFont="1" applyFill="1" applyBorder="1" applyAlignment="1">
      <alignment horizontal="left" vertical="center" wrapText="1"/>
    </xf>
    <xf numFmtId="0" fontId="1" fillId="2" borderId="47" xfId="0" applyFont="1" applyFill="1" applyBorder="1" applyAlignment="1">
      <alignment horizontal="left" vertical="center"/>
    </xf>
    <xf numFmtId="0" fontId="11" fillId="0" borderId="42" xfId="0" applyFont="1" applyFill="1" applyBorder="1" applyAlignment="1">
      <alignment horizontal="center" vertical="center" wrapText="1"/>
    </xf>
    <xf numFmtId="0" fontId="3" fillId="0" borderId="28" xfId="0" applyFont="1" applyFill="1" applyBorder="1"/>
    <xf numFmtId="0" fontId="3" fillId="0" borderId="45" xfId="0" applyFont="1" applyFill="1" applyBorder="1"/>
    <xf numFmtId="0" fontId="11" fillId="0" borderId="42" xfId="0" applyFont="1" applyFill="1" applyBorder="1" applyAlignment="1">
      <alignment horizontal="center" vertical="center"/>
    </xf>
    <xf numFmtId="0" fontId="22" fillId="10" borderId="47" xfId="0" applyFont="1" applyFill="1" applyBorder="1" applyAlignment="1">
      <alignment horizontal="center" vertical="center" wrapText="1"/>
    </xf>
    <xf numFmtId="0" fontId="1" fillId="0" borderId="2" xfId="0" applyFont="1" applyBorder="1" applyAlignment="1">
      <alignment horizontal="center"/>
    </xf>
    <xf numFmtId="0" fontId="3" fillId="0" borderId="50" xfId="0" applyFont="1" applyBorder="1"/>
    <xf numFmtId="0" fontId="25" fillId="4" borderId="51" xfId="0" applyFont="1" applyFill="1" applyBorder="1" applyAlignment="1">
      <alignment horizontal="center" vertical="center" wrapText="1"/>
    </xf>
    <xf numFmtId="0" fontId="3" fillId="0" borderId="52" xfId="0" applyFont="1" applyBorder="1"/>
    <xf numFmtId="0" fontId="3" fillId="0" borderId="53" xfId="0" applyFont="1" applyBorder="1"/>
    <xf numFmtId="0" fontId="6" fillId="0" borderId="19" xfId="0" applyFont="1" applyBorder="1" applyAlignment="1">
      <alignment horizontal="left" vertical="center"/>
    </xf>
    <xf numFmtId="0" fontId="6" fillId="0" borderId="17" xfId="0" applyFont="1" applyBorder="1" applyAlignment="1">
      <alignment horizontal="left" vertical="center"/>
    </xf>
    <xf numFmtId="0" fontId="8" fillId="2" borderId="19" xfId="0" applyFont="1" applyFill="1" applyBorder="1" applyAlignment="1">
      <alignment horizontal="left" vertical="center" wrapText="1"/>
    </xf>
    <xf numFmtId="0" fontId="8" fillId="2" borderId="54" xfId="0" applyFont="1" applyFill="1" applyBorder="1" applyAlignment="1">
      <alignment horizontal="left" vertical="center" wrapText="1"/>
    </xf>
    <xf numFmtId="0" fontId="3" fillId="0" borderId="55" xfId="0" applyFont="1" applyBorder="1"/>
    <xf numFmtId="0" fontId="3" fillId="0" borderId="56" xfId="0" applyFont="1" applyBorder="1"/>
    <xf numFmtId="0" fontId="8" fillId="4" borderId="19" xfId="0" applyFont="1" applyFill="1" applyBorder="1" applyAlignment="1">
      <alignment horizontal="center" vertical="center" wrapText="1"/>
    </xf>
    <xf numFmtId="0" fontId="26" fillId="2" borderId="42" xfId="0" applyFont="1" applyFill="1" applyBorder="1" applyAlignment="1">
      <alignment horizontal="center" vertical="center" wrapText="1"/>
    </xf>
    <xf numFmtId="0" fontId="3" fillId="0" borderId="45" xfId="0" applyFont="1" applyBorder="1"/>
    <xf numFmtId="0" fontId="1" fillId="0" borderId="141" xfId="0" applyFont="1" applyFill="1" applyBorder="1" applyAlignment="1">
      <alignment horizontal="center" vertical="center" wrapText="1"/>
    </xf>
    <xf numFmtId="0" fontId="3" fillId="0" borderId="141" xfId="0" applyFont="1" applyFill="1" applyBorder="1"/>
    <xf numFmtId="0" fontId="1" fillId="0" borderId="141" xfId="0" applyFont="1" applyFill="1" applyBorder="1" applyAlignment="1">
      <alignment horizontal="center" vertical="top" wrapText="1"/>
    </xf>
    <xf numFmtId="0" fontId="9" fillId="6" borderId="58" xfId="0" applyFont="1" applyFill="1" applyBorder="1" applyAlignment="1">
      <alignment horizontal="center" vertical="center"/>
    </xf>
    <xf numFmtId="0" fontId="3" fillId="0" borderId="59" xfId="0" applyFont="1" applyBorder="1"/>
    <xf numFmtId="0" fontId="3" fillId="0" borderId="60" xfId="0" applyFont="1" applyBorder="1"/>
    <xf numFmtId="0" fontId="3" fillId="0" borderId="61" xfId="0" applyFont="1" applyBorder="1"/>
    <xf numFmtId="0" fontId="8" fillId="6" borderId="22" xfId="0" applyFont="1" applyFill="1" applyBorder="1" applyAlignment="1">
      <alignment horizontal="center" vertical="center" wrapText="1"/>
    </xf>
    <xf numFmtId="0" fontId="9" fillId="6" borderId="57" xfId="0" applyFont="1" applyFill="1" applyBorder="1" applyAlignment="1">
      <alignment horizontal="center" vertical="center" wrapText="1"/>
    </xf>
    <xf numFmtId="0" fontId="3" fillId="0" borderId="62" xfId="0" applyFont="1" applyBorder="1"/>
    <xf numFmtId="0" fontId="3" fillId="0" borderId="66" xfId="0" applyFont="1" applyBorder="1"/>
    <xf numFmtId="0" fontId="9" fillId="4" borderId="19" xfId="0" applyFont="1" applyFill="1" applyBorder="1" applyAlignment="1">
      <alignment horizontal="center" vertical="center"/>
    </xf>
    <xf numFmtId="0" fontId="9" fillId="4" borderId="2" xfId="0" applyFont="1" applyFill="1" applyBorder="1" applyAlignment="1">
      <alignment horizontal="center" vertical="center" wrapText="1"/>
    </xf>
    <xf numFmtId="0" fontId="12" fillId="0" borderId="42" xfId="0" applyFont="1" applyBorder="1" applyAlignment="1">
      <alignment horizontal="center" vertical="center" wrapText="1"/>
    </xf>
    <xf numFmtId="0" fontId="26" fillId="0" borderId="42" xfId="0" applyFont="1" applyBorder="1" applyAlignment="1">
      <alignment horizontal="center" vertical="center" wrapText="1"/>
    </xf>
    <xf numFmtId="172" fontId="16" fillId="4" borderId="72" xfId="0" applyNumberFormat="1" applyFont="1" applyFill="1" applyBorder="1" applyAlignment="1">
      <alignment horizontal="center" vertical="center" wrapText="1"/>
    </xf>
    <xf numFmtId="0" fontId="3" fillId="0" borderId="73" xfId="0" applyFont="1" applyBorder="1"/>
    <xf numFmtId="0" fontId="3" fillId="0" borderId="74" xfId="0" applyFont="1" applyBorder="1"/>
    <xf numFmtId="0" fontId="3" fillId="0" borderId="80" xfId="0" applyFont="1" applyBorder="1"/>
    <xf numFmtId="0" fontId="3" fillId="0" borderId="85" xfId="0" applyFont="1" applyBorder="1"/>
    <xf numFmtId="170" fontId="20" fillId="0" borderId="0" xfId="0" applyNumberFormat="1" applyFont="1" applyAlignment="1">
      <alignment horizontal="center" vertical="center" wrapText="1"/>
    </xf>
    <xf numFmtId="170" fontId="31" fillId="0" borderId="0" xfId="0" applyNumberFormat="1" applyFont="1" applyAlignment="1">
      <alignment horizontal="center" vertical="center" wrapText="1"/>
    </xf>
    <xf numFmtId="0" fontId="12" fillId="2" borderId="42" xfId="0" applyFont="1" applyFill="1" applyBorder="1" applyAlignment="1">
      <alignment horizontal="center" vertical="center" wrapText="1"/>
    </xf>
    <xf numFmtId="172" fontId="1" fillId="13" borderId="83" xfId="0" applyNumberFormat="1" applyFont="1" applyFill="1" applyBorder="1" applyAlignment="1">
      <alignment horizontal="center" wrapText="1"/>
    </xf>
    <xf numFmtId="0" fontId="3" fillId="13" borderId="107" xfId="0" applyFont="1" applyFill="1" applyBorder="1"/>
    <xf numFmtId="0" fontId="3" fillId="13" borderId="73" xfId="0" applyFont="1" applyFill="1" applyBorder="1"/>
    <xf numFmtId="0" fontId="3" fillId="13" borderId="79" xfId="0" applyFont="1" applyFill="1" applyBorder="1"/>
    <xf numFmtId="0" fontId="3" fillId="13" borderId="83" xfId="0" applyFont="1" applyFill="1" applyBorder="1"/>
    <xf numFmtId="0" fontId="0" fillId="13" borderId="0" xfId="0" applyFill="1"/>
    <xf numFmtId="0" fontId="3" fillId="13" borderId="84" xfId="0" applyFont="1" applyFill="1" applyBorder="1"/>
    <xf numFmtId="0" fontId="3" fillId="13" borderId="89" xfId="0" applyFont="1" applyFill="1" applyBorder="1"/>
    <xf numFmtId="0" fontId="3" fillId="13" borderId="90" xfId="0" applyFont="1" applyFill="1" applyBorder="1"/>
    <xf numFmtId="0" fontId="3" fillId="13" borderId="78" xfId="0" applyFont="1" applyFill="1" applyBorder="1"/>
    <xf numFmtId="0" fontId="1" fillId="0" borderId="141" xfId="0" applyFont="1" applyFill="1" applyBorder="1" applyAlignment="1">
      <alignment horizontal="left" vertical="top" wrapText="1"/>
    </xf>
    <xf numFmtId="0" fontId="3" fillId="0" borderId="142" xfId="0" applyFont="1" applyFill="1" applyBorder="1"/>
    <xf numFmtId="0" fontId="1" fillId="2" borderId="107" xfId="0" applyFont="1" applyFill="1" applyBorder="1" applyAlignment="1">
      <alignment horizontal="center" vertical="center"/>
    </xf>
    <xf numFmtId="0" fontId="3" fillId="0" borderId="107" xfId="0" applyFont="1" applyBorder="1"/>
    <xf numFmtId="0" fontId="1" fillId="0" borderId="141" xfId="0" applyFont="1" applyFill="1" applyBorder="1" applyAlignment="1">
      <alignment horizontal="left" vertical="center" wrapText="1"/>
    </xf>
    <xf numFmtId="0" fontId="3" fillId="0" borderId="141" xfId="0" applyFont="1" applyFill="1" applyBorder="1" applyAlignment="1">
      <alignment vertical="top"/>
    </xf>
    <xf numFmtId="0" fontId="3" fillId="0" borderId="142" xfId="0" applyFont="1" applyFill="1" applyBorder="1" applyAlignment="1">
      <alignment vertical="top"/>
    </xf>
    <xf numFmtId="0" fontId="29" fillId="0" borderId="25" xfId="0" applyFont="1" applyFill="1" applyBorder="1" applyAlignment="1">
      <alignment horizontal="left" vertical="top" wrapText="1"/>
    </xf>
    <xf numFmtId="0" fontId="3" fillId="0" borderId="99" xfId="0" applyFont="1" applyFill="1" applyBorder="1"/>
    <xf numFmtId="0" fontId="29" fillId="0" borderId="42" xfId="0" applyFont="1" applyFill="1" applyBorder="1" applyAlignment="1">
      <alignment horizontal="left" vertical="center" wrapText="1"/>
    </xf>
    <xf numFmtId="0" fontId="29" fillId="0" borderId="42" xfId="0" applyFont="1" applyFill="1" applyBorder="1" applyAlignment="1">
      <alignment horizontal="left" vertical="top" wrapText="1"/>
    </xf>
    <xf numFmtId="0" fontId="29" fillId="0" borderId="42" xfId="0" applyFont="1" applyFill="1" applyBorder="1" applyAlignment="1">
      <alignment horizontal="center" vertical="center" wrapText="1"/>
    </xf>
    <xf numFmtId="10" fontId="29" fillId="0" borderId="42" xfId="0" applyNumberFormat="1" applyFont="1" applyFill="1" applyBorder="1" applyAlignment="1">
      <alignment horizontal="center" vertical="center" wrapText="1"/>
    </xf>
    <xf numFmtId="0" fontId="29" fillId="0" borderId="100" xfId="0" applyFont="1" applyFill="1" applyBorder="1" applyAlignment="1">
      <alignment horizontal="left" vertical="top" wrapText="1"/>
    </xf>
    <xf numFmtId="0" fontId="32" fillId="4" borderId="21" xfId="0" applyFont="1" applyFill="1" applyBorder="1" applyAlignment="1">
      <alignment horizontal="center" vertical="center" wrapText="1"/>
    </xf>
    <xf numFmtId="0" fontId="33" fillId="4" borderId="91" xfId="0" applyFont="1" applyFill="1" applyBorder="1" applyAlignment="1">
      <alignment horizontal="left" vertical="center" wrapText="1"/>
    </xf>
    <xf numFmtId="0" fontId="3" fillId="0" borderId="92" xfId="0" applyFont="1" applyBorder="1"/>
    <xf numFmtId="0" fontId="6" fillId="2" borderId="93" xfId="0" applyFont="1" applyFill="1" applyBorder="1" applyAlignment="1">
      <alignment horizontal="left" vertical="center" wrapText="1"/>
    </xf>
    <xf numFmtId="0" fontId="3" fillId="0" borderId="94" xfId="0" applyFont="1" applyBorder="1"/>
    <xf numFmtId="0" fontId="8" fillId="4" borderId="93" xfId="0" applyFont="1" applyFill="1" applyBorder="1" applyAlignment="1">
      <alignment horizontal="left" vertical="center" wrapText="1"/>
    </xf>
    <xf numFmtId="0" fontId="3" fillId="0" borderId="95" xfId="0" applyFont="1" applyBorder="1"/>
    <xf numFmtId="0" fontId="34" fillId="4" borderId="96" xfId="0" applyFont="1" applyFill="1" applyBorder="1" applyAlignment="1">
      <alignment horizontal="center" vertical="center" wrapText="1"/>
    </xf>
    <xf numFmtId="0" fontId="3" fillId="0" borderId="97" xfId="0" applyFont="1" applyBorder="1"/>
    <xf numFmtId="0" fontId="34" fillId="4" borderId="24" xfId="0" applyFont="1" applyFill="1" applyBorder="1" applyAlignment="1">
      <alignment horizontal="center" vertical="center" wrapText="1"/>
    </xf>
    <xf numFmtId="0" fontId="8" fillId="0" borderId="19" xfId="0" applyFont="1" applyBorder="1" applyAlignment="1">
      <alignment horizontal="center" vertical="center" wrapText="1"/>
    </xf>
    <xf numFmtId="0" fontId="34" fillId="4" borderId="57" xfId="0" applyFont="1" applyFill="1" applyBorder="1" applyAlignment="1">
      <alignment horizontal="center" vertical="center" wrapText="1"/>
    </xf>
    <xf numFmtId="0" fontId="35" fillId="4" borderId="96" xfId="0" applyFont="1" applyFill="1" applyBorder="1" applyAlignment="1">
      <alignment horizontal="center" vertical="center" wrapText="1"/>
    </xf>
    <xf numFmtId="0" fontId="34" fillId="6" borderId="96" xfId="0" applyFont="1" applyFill="1" applyBorder="1" applyAlignment="1">
      <alignment horizontal="center" vertical="center" wrapText="1"/>
    </xf>
    <xf numFmtId="0" fontId="29" fillId="0" borderId="100" xfId="0" applyFont="1" applyFill="1" applyBorder="1" applyAlignment="1">
      <alignment horizontal="left" vertical="center" wrapText="1"/>
    </xf>
    <xf numFmtId="0" fontId="3" fillId="0" borderId="99" xfId="0" applyFont="1" applyFill="1" applyBorder="1" applyAlignment="1">
      <alignment horizontal="left"/>
    </xf>
    <xf numFmtId="0" fontId="34" fillId="4" borderId="101" xfId="0" applyFont="1" applyFill="1" applyBorder="1" applyAlignment="1">
      <alignment horizontal="center" vertical="center" wrapText="1"/>
    </xf>
    <xf numFmtId="0" fontId="3" fillId="0" borderId="102" xfId="0" applyFont="1" applyBorder="1"/>
    <xf numFmtId="0" fontId="3" fillId="0" borderId="103" xfId="0" applyFont="1" applyBorder="1"/>
    <xf numFmtId="0" fontId="1" fillId="0" borderId="0" xfId="0" applyFont="1" applyAlignment="1">
      <alignment horizontal="center"/>
    </xf>
    <xf numFmtId="0" fontId="1" fillId="0" borderId="123" xfId="2" applyFont="1" applyBorder="1" applyAlignment="1">
      <alignment horizontal="left" vertical="center" wrapText="1"/>
    </xf>
    <xf numFmtId="0" fontId="3" fillId="0" borderId="68" xfId="2" applyFont="1" applyBorder="1"/>
    <xf numFmtId="0" fontId="3" fillId="0" borderId="120" xfId="2" applyFont="1" applyBorder="1"/>
    <xf numFmtId="0" fontId="1" fillId="0" borderId="123" xfId="2" applyFont="1" applyBorder="1" applyAlignment="1">
      <alignment horizontal="left" vertical="center"/>
    </xf>
    <xf numFmtId="0" fontId="42" fillId="0" borderId="98" xfId="2" applyFont="1" applyBorder="1" applyAlignment="1">
      <alignment vertical="center" wrapText="1"/>
    </xf>
    <xf numFmtId="0" fontId="3" fillId="0" borderId="134" xfId="2" applyFont="1" applyBorder="1"/>
    <xf numFmtId="0" fontId="3" fillId="0" borderId="70" xfId="2" applyFont="1" applyBorder="1"/>
    <xf numFmtId="3" fontId="29" fillId="0" borderId="98" xfId="2" applyNumberFormat="1" applyFont="1" applyBorder="1" applyAlignment="1">
      <alignment horizontal="center" vertical="center" wrapText="1"/>
    </xf>
    <xf numFmtId="0" fontId="35" fillId="4" borderId="125" xfId="2" applyFont="1" applyFill="1" applyBorder="1" applyAlignment="1">
      <alignment horizontal="center" vertical="center" wrapText="1"/>
    </xf>
    <xf numFmtId="0" fontId="3" fillId="0" borderId="138" xfId="2" applyFont="1" applyBorder="1"/>
    <xf numFmtId="0" fontId="3" fillId="0" borderId="122" xfId="2" applyFont="1" applyBorder="1"/>
    <xf numFmtId="0" fontId="3" fillId="0" borderId="106" xfId="2" applyFont="1" applyBorder="1"/>
    <xf numFmtId="0" fontId="58" fillId="0" borderId="107" xfId="2"/>
    <xf numFmtId="0" fontId="3" fillId="0" borderId="84" xfId="2" applyFont="1" applyBorder="1"/>
    <xf numFmtId="0" fontId="3" fillId="0" borderId="101" xfId="2" applyFont="1" applyBorder="1"/>
    <xf numFmtId="0" fontId="3" fillId="0" borderId="102" xfId="2" applyFont="1" applyBorder="1"/>
    <xf numFmtId="0" fontId="3" fillId="0" borderId="124" xfId="2" applyFont="1" applyBorder="1"/>
    <xf numFmtId="0" fontId="22" fillId="10" borderId="123" xfId="2" applyFont="1" applyFill="1" applyBorder="1" applyAlignment="1">
      <alignment horizontal="center" vertical="center"/>
    </xf>
    <xf numFmtId="0" fontId="22" fillId="10" borderId="123" xfId="2" applyFont="1" applyFill="1" applyBorder="1" applyAlignment="1">
      <alignment horizontal="center" vertical="center" wrapText="1"/>
    </xf>
    <xf numFmtId="3" fontId="29" fillId="2" borderId="98" xfId="2" applyNumberFormat="1" applyFont="1" applyFill="1" applyBorder="1" applyAlignment="1">
      <alignment horizontal="center" vertical="center" wrapText="1"/>
    </xf>
    <xf numFmtId="0" fontId="29" fillId="0" borderId="98" xfId="2" applyFont="1" applyFill="1" applyBorder="1" applyAlignment="1">
      <alignment vertical="center" wrapText="1"/>
    </xf>
    <xf numFmtId="0" fontId="3" fillId="0" borderId="134" xfId="2" applyFont="1" applyFill="1" applyBorder="1"/>
    <xf numFmtId="0" fontId="3" fillId="0" borderId="70" xfId="2" applyFont="1" applyFill="1" applyBorder="1"/>
    <xf numFmtId="0" fontId="29" fillId="0" borderId="98" xfId="2" applyFont="1" applyFill="1" applyBorder="1" applyAlignment="1">
      <alignment horizontal="center" vertical="center" wrapText="1"/>
    </xf>
    <xf numFmtId="0" fontId="29" fillId="2" borderId="98" xfId="2" applyFont="1" applyFill="1" applyBorder="1" applyAlignment="1">
      <alignment vertical="center" wrapText="1"/>
    </xf>
    <xf numFmtId="0" fontId="29" fillId="2" borderId="98" xfId="2" applyFont="1" applyFill="1" applyBorder="1" applyAlignment="1">
      <alignment horizontal="center" vertical="center" wrapText="1"/>
    </xf>
    <xf numFmtId="0" fontId="29" fillId="0" borderId="136" xfId="2" applyFont="1" applyFill="1" applyBorder="1" applyAlignment="1">
      <alignment horizontal="center" vertical="center" wrapText="1"/>
    </xf>
    <xf numFmtId="0" fontId="3" fillId="0" borderId="133" xfId="2" applyFont="1" applyFill="1" applyBorder="1"/>
    <xf numFmtId="0" fontId="3" fillId="0" borderId="116" xfId="2" applyFont="1" applyFill="1" applyBorder="1"/>
    <xf numFmtId="0" fontId="26" fillId="0" borderId="31" xfId="2" applyFont="1" applyFill="1" applyBorder="1" applyAlignment="1">
      <alignment horizontal="center" vertical="center" wrapText="1"/>
    </xf>
    <xf numFmtId="4" fontId="29" fillId="0" borderId="98" xfId="2" applyNumberFormat="1" applyFont="1" applyFill="1" applyBorder="1" applyAlignment="1">
      <alignment horizontal="center" vertical="center" wrapText="1"/>
    </xf>
    <xf numFmtId="0" fontId="3" fillId="0" borderId="119" xfId="2" applyFont="1" applyFill="1" applyBorder="1"/>
    <xf numFmtId="0" fontId="42" fillId="2" borderId="98" xfId="2" applyFont="1" applyFill="1" applyBorder="1" applyAlignment="1">
      <alignment vertical="center" wrapText="1"/>
    </xf>
    <xf numFmtId="0" fontId="1" fillId="2" borderId="98" xfId="2" applyFont="1" applyFill="1" applyBorder="1" applyAlignment="1">
      <alignment horizontal="center" vertical="top" wrapText="1"/>
    </xf>
    <xf numFmtId="0" fontId="29" fillId="0" borderId="136" xfId="2" applyFont="1" applyFill="1" applyBorder="1" applyAlignment="1">
      <alignment vertical="center" wrapText="1"/>
    </xf>
    <xf numFmtId="3" fontId="44" fillId="2" borderId="98" xfId="2" applyNumberFormat="1" applyFont="1" applyFill="1" applyBorder="1" applyAlignment="1">
      <alignment vertical="center" wrapText="1"/>
    </xf>
    <xf numFmtId="0" fontId="29" fillId="0" borderId="140" xfId="2" applyFont="1" applyFill="1" applyBorder="1" applyAlignment="1">
      <alignment horizontal="center" vertical="center" wrapText="1"/>
    </xf>
    <xf numFmtId="0" fontId="3" fillId="0" borderId="121" xfId="2" applyFont="1" applyFill="1" applyBorder="1"/>
    <xf numFmtId="0" fontId="3" fillId="0" borderId="131" xfId="2" applyFont="1" applyFill="1" applyBorder="1"/>
    <xf numFmtId="0" fontId="42" fillId="2" borderId="98" xfId="2" applyFont="1" applyFill="1" applyBorder="1" applyAlignment="1">
      <alignment horizontal="center" vertical="center" wrapText="1"/>
    </xf>
    <xf numFmtId="0" fontId="26" fillId="0" borderId="98" xfId="2" applyFont="1" applyFill="1" applyBorder="1" applyAlignment="1">
      <alignment horizontal="center" vertical="center" wrapText="1"/>
    </xf>
    <xf numFmtId="4" fontId="26" fillId="0" borderId="140" xfId="2" applyNumberFormat="1" applyFont="1" applyFill="1" applyBorder="1" applyAlignment="1">
      <alignment horizontal="center" vertical="top" wrapText="1"/>
    </xf>
    <xf numFmtId="0" fontId="1" fillId="0" borderId="98" xfId="2" applyFont="1" applyBorder="1" applyAlignment="1">
      <alignment horizontal="center"/>
    </xf>
    <xf numFmtId="0" fontId="42" fillId="0" borderId="98" xfId="2" applyFont="1" applyBorder="1" applyAlignment="1">
      <alignment horizontal="center" vertical="center" wrapText="1"/>
    </xf>
    <xf numFmtId="0" fontId="1" fillId="0" borderId="98" xfId="2" applyFont="1" applyBorder="1" applyAlignment="1">
      <alignment horizontal="center" vertical="center" wrapText="1"/>
    </xf>
    <xf numFmtId="3" fontId="26" fillId="0" borderId="98" xfId="2" applyNumberFormat="1" applyFont="1" applyFill="1" applyBorder="1" applyAlignment="1">
      <alignment horizontal="center" vertical="center" wrapText="1"/>
    </xf>
    <xf numFmtId="3" fontId="16" fillId="0" borderId="98" xfId="2" applyNumberFormat="1" applyFont="1" applyBorder="1" applyAlignment="1">
      <alignment horizontal="center" vertical="center" wrapText="1"/>
    </xf>
    <xf numFmtId="3" fontId="16" fillId="2" borderId="98" xfId="2" applyNumberFormat="1" applyFont="1" applyFill="1" applyBorder="1" applyAlignment="1">
      <alignment horizontal="center" vertical="center" wrapText="1"/>
    </xf>
    <xf numFmtId="0" fontId="16" fillId="0" borderId="98" xfId="2" applyFont="1" applyFill="1" applyBorder="1" applyAlignment="1">
      <alignment horizontal="center" vertical="center" wrapText="1"/>
    </xf>
    <xf numFmtId="0" fontId="16" fillId="2" borderId="98" xfId="2" applyFont="1" applyFill="1" applyBorder="1" applyAlignment="1">
      <alignment vertical="center" wrapText="1"/>
    </xf>
    <xf numFmtId="0" fontId="16" fillId="2" borderId="98" xfId="2" applyFont="1" applyFill="1" applyBorder="1" applyAlignment="1">
      <alignment horizontal="center" vertical="center" wrapText="1"/>
    </xf>
    <xf numFmtId="4" fontId="26" fillId="0" borderId="140" xfId="2" applyNumberFormat="1" applyFont="1" applyFill="1" applyBorder="1" applyAlignment="1">
      <alignment horizontal="center" vertical="center" wrapText="1"/>
    </xf>
    <xf numFmtId="0" fontId="16" fillId="0" borderId="136" xfId="2" applyFont="1" applyFill="1" applyBorder="1" applyAlignment="1">
      <alignment horizontal="center" vertical="center" wrapText="1"/>
    </xf>
    <xf numFmtId="0" fontId="16" fillId="0" borderId="98" xfId="2" applyFont="1" applyBorder="1" applyAlignment="1">
      <alignment horizontal="center" vertical="center" wrapText="1"/>
    </xf>
    <xf numFmtId="0" fontId="16" fillId="0" borderId="136" xfId="2" applyFont="1" applyBorder="1" applyAlignment="1">
      <alignment horizontal="center" vertical="center" wrapText="1"/>
    </xf>
    <xf numFmtId="0" fontId="3" fillId="0" borderId="133" xfId="2" applyFont="1" applyBorder="1"/>
    <xf numFmtId="0" fontId="3" fillId="0" borderId="116" xfId="2" applyFont="1" applyBorder="1"/>
    <xf numFmtId="1" fontId="16" fillId="2" borderId="98" xfId="2" applyNumberFormat="1" applyFont="1" applyFill="1" applyBorder="1" applyAlignment="1">
      <alignment horizontal="center" vertical="center" wrapText="1"/>
    </xf>
    <xf numFmtId="4" fontId="26" fillId="0" borderId="98" xfId="2" applyNumberFormat="1" applyFont="1" applyFill="1" applyBorder="1" applyAlignment="1">
      <alignment horizontal="center" vertical="center" wrapText="1"/>
    </xf>
    <xf numFmtId="0" fontId="1" fillId="2" borderId="98" xfId="2" applyFont="1" applyFill="1" applyBorder="1" applyAlignment="1">
      <alignment horizontal="center" vertical="center" wrapText="1"/>
    </xf>
    <xf numFmtId="3" fontId="44" fillId="2" borderId="98" xfId="2" applyNumberFormat="1" applyFont="1" applyFill="1" applyBorder="1" applyAlignment="1">
      <alignment horizontal="center" vertical="center" wrapText="1"/>
    </xf>
    <xf numFmtId="0" fontId="40" fillId="12" borderId="98" xfId="2" applyFont="1" applyFill="1" applyBorder="1" applyAlignment="1">
      <alignment horizontal="left" vertical="center" wrapText="1"/>
    </xf>
    <xf numFmtId="0" fontId="29" fillId="0" borderId="140" xfId="2" applyFont="1" applyFill="1" applyBorder="1" applyAlignment="1">
      <alignment vertical="center" wrapText="1"/>
    </xf>
    <xf numFmtId="4" fontId="26" fillId="0" borderId="140" xfId="2" applyNumberFormat="1" applyFont="1" applyFill="1" applyBorder="1" applyAlignment="1">
      <alignment horizontal="left" vertical="center" wrapText="1"/>
    </xf>
    <xf numFmtId="0" fontId="29" fillId="0" borderId="98" xfId="2" applyFont="1" applyFill="1" applyBorder="1" applyAlignment="1">
      <alignment horizontal="left" vertical="center" wrapText="1"/>
    </xf>
    <xf numFmtId="0" fontId="40" fillId="0" borderId="98" xfId="2" applyFont="1" applyBorder="1" applyAlignment="1">
      <alignment horizontal="left" vertical="center" wrapText="1"/>
    </xf>
    <xf numFmtId="0" fontId="29" fillId="0" borderId="98" xfId="2" applyFont="1" applyFill="1" applyBorder="1" applyAlignment="1">
      <alignment horizontal="left" vertical="top" wrapText="1"/>
    </xf>
    <xf numFmtId="4" fontId="26" fillId="0" borderId="140" xfId="2" applyNumberFormat="1" applyFont="1" applyBorder="1" applyAlignment="1">
      <alignment horizontal="left" vertical="center" wrapText="1"/>
    </xf>
    <xf numFmtId="0" fontId="3" fillId="0" borderId="121" xfId="2" applyFont="1" applyBorder="1"/>
    <xf numFmtId="0" fontId="3" fillId="0" borderId="131" xfId="2" applyFont="1" applyBorder="1"/>
    <xf numFmtId="0" fontId="1" fillId="0" borderId="98" xfId="2" applyFont="1" applyBorder="1" applyAlignment="1">
      <alignment horizontal="left" vertical="center" wrapText="1"/>
    </xf>
    <xf numFmtId="0" fontId="40" fillId="2" borderId="98" xfId="2" applyFont="1" applyFill="1" applyBorder="1" applyAlignment="1">
      <alignment horizontal="left" vertical="center" wrapText="1"/>
    </xf>
    <xf numFmtId="4" fontId="29" fillId="0" borderId="140" xfId="2" applyNumberFormat="1" applyFont="1" applyFill="1" applyBorder="1" applyAlignment="1">
      <alignment horizontal="left" vertical="center" wrapText="1"/>
    </xf>
    <xf numFmtId="0" fontId="1" fillId="12" borderId="98" xfId="2" applyFont="1" applyFill="1" applyBorder="1" applyAlignment="1">
      <alignment horizontal="left" vertical="center" wrapText="1"/>
    </xf>
    <xf numFmtId="4" fontId="29" fillId="0" borderId="140" xfId="2" applyNumberFormat="1" applyFont="1" applyFill="1" applyBorder="1" applyAlignment="1">
      <alignment horizontal="center" vertical="center" wrapText="1"/>
    </xf>
    <xf numFmtId="4" fontId="26" fillId="2" borderId="140" xfId="2" applyNumberFormat="1" applyFont="1" applyFill="1" applyBorder="1" applyAlignment="1">
      <alignment horizontal="center" vertical="center" wrapText="1"/>
    </xf>
    <xf numFmtId="0" fontId="29" fillId="2" borderId="136" xfId="2" applyFont="1" applyFill="1" applyBorder="1" applyAlignment="1">
      <alignment horizontal="center" vertical="center" wrapText="1"/>
    </xf>
    <xf numFmtId="0" fontId="29" fillId="0" borderId="125" xfId="2" applyFont="1" applyFill="1" applyBorder="1" applyAlignment="1">
      <alignment horizontal="center" vertical="center" wrapText="1"/>
    </xf>
    <xf numFmtId="0" fontId="3" fillId="0" borderId="106" xfId="2" applyFont="1" applyFill="1" applyBorder="1"/>
    <xf numFmtId="0" fontId="3" fillId="0" borderId="130" xfId="2" applyFont="1" applyFill="1" applyBorder="1"/>
    <xf numFmtId="0" fontId="29" fillId="0" borderId="122" xfId="2" applyFont="1" applyFill="1" applyBorder="1" applyAlignment="1">
      <alignment horizontal="left" vertical="center" wrapText="1"/>
    </xf>
    <xf numFmtId="0" fontId="3" fillId="0" borderId="84" xfId="2" applyFont="1" applyFill="1" applyBorder="1"/>
    <xf numFmtId="0" fontId="3" fillId="0" borderId="137" xfId="2" applyFont="1" applyFill="1" applyBorder="1"/>
    <xf numFmtId="0" fontId="1" fillId="2" borderId="98" xfId="2" applyFont="1" applyFill="1" applyBorder="1" applyAlignment="1">
      <alignment horizontal="left" vertical="center" wrapText="1"/>
    </xf>
    <xf numFmtId="0" fontId="29" fillId="0" borderId="136" xfId="2" applyFont="1" applyFill="1" applyBorder="1" applyAlignment="1">
      <alignment horizontal="left" vertical="center" wrapText="1"/>
    </xf>
    <xf numFmtId="0" fontId="26" fillId="0" borderId="98" xfId="2" applyFont="1" applyFill="1" applyBorder="1" applyAlignment="1">
      <alignment vertical="center" wrapText="1"/>
    </xf>
    <xf numFmtId="3" fontId="26" fillId="0" borderId="98" xfId="2" applyNumberFormat="1" applyFont="1" applyFill="1" applyBorder="1" applyAlignment="1">
      <alignment horizontal="center" vertical="top" wrapText="1"/>
    </xf>
    <xf numFmtId="3" fontId="44" fillId="0" borderId="98" xfId="2" applyNumberFormat="1" applyFont="1" applyBorder="1" applyAlignment="1">
      <alignment horizontal="center" vertical="center" wrapText="1"/>
    </xf>
    <xf numFmtId="3" fontId="26" fillId="0" borderId="121" xfId="2" applyNumberFormat="1" applyFont="1" applyFill="1" applyBorder="1" applyAlignment="1">
      <alignment horizontal="center" vertical="top" wrapText="1"/>
    </xf>
    <xf numFmtId="0" fontId="43" fillId="0" borderId="136" xfId="2" applyFont="1" applyFill="1" applyBorder="1" applyAlignment="1">
      <alignment horizontal="center" vertical="center" wrapText="1"/>
    </xf>
    <xf numFmtId="0" fontId="1" fillId="0" borderId="98" xfId="2" applyFont="1" applyBorder="1" applyAlignment="1">
      <alignment horizontal="left" vertical="top"/>
    </xf>
    <xf numFmtId="0" fontId="29" fillId="2" borderId="136" xfId="2" applyFont="1" applyFill="1" applyBorder="1" applyAlignment="1">
      <alignment vertical="center" wrapText="1"/>
    </xf>
    <xf numFmtId="0" fontId="27" fillId="2" borderId="98" xfId="2" applyFont="1" applyFill="1" applyBorder="1" applyAlignment="1">
      <alignment horizontal="center" vertical="center" wrapText="1"/>
    </xf>
    <xf numFmtId="4" fontId="26" fillId="0" borderId="98" xfId="2" applyNumberFormat="1" applyFont="1" applyFill="1" applyBorder="1" applyAlignment="1">
      <alignment horizontal="center" vertical="top" wrapText="1"/>
    </xf>
    <xf numFmtId="0" fontId="27" fillId="0" borderId="98" xfId="2" applyFont="1" applyFill="1" applyBorder="1" applyAlignment="1">
      <alignment horizontal="center" vertical="center" wrapText="1"/>
    </xf>
    <xf numFmtId="4" fontId="26" fillId="0" borderId="121" xfId="2" applyNumberFormat="1" applyFont="1" applyFill="1" applyBorder="1" applyAlignment="1">
      <alignment horizontal="center" vertical="top" wrapText="1"/>
    </xf>
    <xf numFmtId="0" fontId="45" fillId="2" borderId="98" xfId="2" applyFont="1" applyFill="1" applyBorder="1" applyAlignment="1">
      <alignment horizontal="center" vertical="center" wrapText="1"/>
    </xf>
    <xf numFmtId="0" fontId="45" fillId="2" borderId="98" xfId="2" applyFont="1" applyFill="1" applyBorder="1" applyAlignment="1">
      <alignment vertical="center" wrapText="1"/>
    </xf>
    <xf numFmtId="3" fontId="26" fillId="0" borderId="121" xfId="2" applyNumberFormat="1" applyFont="1" applyFill="1" applyBorder="1" applyAlignment="1">
      <alignment horizontal="center" vertical="center" wrapText="1"/>
    </xf>
    <xf numFmtId="3" fontId="26" fillId="0" borderId="83" xfId="2" applyNumberFormat="1" applyFont="1" applyFill="1" applyBorder="1" applyAlignment="1">
      <alignment horizontal="center" vertical="center" wrapText="1"/>
    </xf>
    <xf numFmtId="0" fontId="3" fillId="0" borderId="83" xfId="2" applyFont="1" applyFill="1" applyBorder="1"/>
    <xf numFmtId="0" fontId="29" fillId="0" borderId="122" xfId="2" applyFont="1" applyFill="1" applyBorder="1" applyAlignment="1">
      <alignment horizontal="center" vertical="center" wrapText="1"/>
    </xf>
    <xf numFmtId="3" fontId="26" fillId="0" borderId="35" xfId="2" applyNumberFormat="1" applyFont="1" applyFill="1" applyBorder="1" applyAlignment="1">
      <alignment horizontal="center" vertical="center" wrapText="1"/>
    </xf>
    <xf numFmtId="0" fontId="3" fillId="0" borderId="38" xfId="2" applyFont="1" applyFill="1" applyBorder="1"/>
    <xf numFmtId="0" fontId="3" fillId="0" borderId="117" xfId="2" applyFont="1" applyFill="1" applyBorder="1"/>
    <xf numFmtId="0" fontId="3" fillId="0" borderId="112" xfId="2" applyFont="1" applyFill="1" applyBorder="1"/>
    <xf numFmtId="0" fontId="29" fillId="2" borderId="31" xfId="2" applyFont="1" applyFill="1" applyBorder="1" applyAlignment="1">
      <alignment horizontal="center" vertical="center" wrapText="1"/>
    </xf>
    <xf numFmtId="0" fontId="34" fillId="4" borderId="32" xfId="2" applyFont="1" applyFill="1" applyBorder="1" applyAlignment="1">
      <alignment horizontal="center" vertical="center" wrapText="1"/>
    </xf>
    <xf numFmtId="0" fontId="3" fillId="0" borderId="112" xfId="2" applyFont="1" applyBorder="1"/>
    <xf numFmtId="3" fontId="29" fillId="0" borderId="113" xfId="2" applyNumberFormat="1" applyFont="1" applyFill="1" applyBorder="1" applyAlignment="1">
      <alignment horizontal="center" vertical="center"/>
    </xf>
    <xf numFmtId="0" fontId="29" fillId="0" borderId="98" xfId="2" applyFont="1" applyFill="1" applyBorder="1" applyAlignment="1">
      <alignment vertical="top" wrapText="1"/>
    </xf>
    <xf numFmtId="3" fontId="26" fillId="0" borderId="140" xfId="2" applyNumberFormat="1" applyFont="1" applyFill="1" applyBorder="1" applyAlignment="1">
      <alignment horizontal="center" vertical="center" wrapText="1"/>
    </xf>
    <xf numFmtId="0" fontId="8" fillId="4" borderId="19" xfId="2" applyFont="1" applyFill="1" applyBorder="1" applyAlignment="1">
      <alignment horizontal="left" vertical="center" wrapText="1"/>
    </xf>
    <xf numFmtId="0" fontId="3" fillId="0" borderId="18" xfId="2" applyFont="1" applyBorder="1"/>
    <xf numFmtId="0" fontId="3" fillId="0" borderId="20" xfId="2" applyFont="1" applyBorder="1"/>
    <xf numFmtId="0" fontId="8" fillId="2" borderId="18" xfId="2" applyFont="1" applyFill="1" applyBorder="1" applyAlignment="1">
      <alignment horizontal="left" vertical="center" wrapText="1"/>
    </xf>
    <xf numFmtId="0" fontId="38" fillId="4" borderId="106" xfId="2" applyFont="1" applyFill="1" applyBorder="1" applyAlignment="1">
      <alignment horizontal="left" vertical="center" wrapText="1"/>
    </xf>
    <xf numFmtId="0" fontId="3" fillId="0" borderId="107" xfId="2" applyFont="1" applyBorder="1"/>
    <xf numFmtId="0" fontId="3" fillId="0" borderId="108" xfId="2" applyFont="1" applyBorder="1"/>
    <xf numFmtId="0" fontId="10" fillId="11" borderId="135" xfId="2" applyFont="1" applyFill="1" applyBorder="1" applyAlignment="1">
      <alignment horizontal="left" vertical="center" wrapText="1"/>
    </xf>
    <xf numFmtId="0" fontId="3" fillId="0" borderId="135" xfId="2" applyFont="1" applyBorder="1"/>
    <xf numFmtId="0" fontId="3" fillId="0" borderId="56" xfId="2" applyFont="1" applyBorder="1"/>
    <xf numFmtId="0" fontId="34" fillId="4" borderId="19" xfId="2" applyFont="1" applyFill="1" applyBorder="1" applyAlignment="1">
      <alignment horizontal="center" vertical="center" wrapText="1"/>
    </xf>
    <xf numFmtId="0" fontId="34" fillId="6" borderId="19" xfId="2" applyFont="1" applyFill="1" applyBorder="1" applyAlignment="1">
      <alignment horizontal="center" vertical="center" wrapText="1"/>
    </xf>
    <xf numFmtId="0" fontId="34" fillId="4" borderId="21" xfId="2" applyFont="1" applyFill="1" applyBorder="1" applyAlignment="1">
      <alignment horizontal="center" vertical="center" wrapText="1"/>
    </xf>
    <xf numFmtId="0" fontId="3" fillId="0" borderId="67" xfId="2" applyFont="1" applyBorder="1"/>
    <xf numFmtId="0" fontId="3" fillId="0" borderId="97" xfId="2" applyFont="1" applyBorder="1"/>
    <xf numFmtId="0" fontId="34" fillId="4" borderId="67" xfId="2" applyFont="1" applyFill="1" applyBorder="1" applyAlignment="1">
      <alignment horizontal="center" vertical="center" wrapText="1"/>
    </xf>
    <xf numFmtId="0" fontId="34" fillId="4" borderId="96" xfId="2" applyFont="1" applyFill="1" applyBorder="1" applyAlignment="1">
      <alignment horizontal="center" vertical="center" wrapText="1"/>
    </xf>
    <xf numFmtId="0" fontId="1" fillId="0" borderId="57" xfId="2" applyFont="1" applyBorder="1" applyAlignment="1">
      <alignment horizontal="center"/>
    </xf>
    <xf numFmtId="0" fontId="22" fillId="4" borderId="123" xfId="2" applyFont="1" applyFill="1" applyBorder="1" applyAlignment="1">
      <alignment horizontal="center" vertical="center"/>
    </xf>
    <xf numFmtId="0" fontId="12" fillId="4" borderId="139" xfId="2" applyFont="1" applyFill="1" applyBorder="1" applyAlignment="1">
      <alignment horizontal="center" vertical="center" wrapText="1"/>
    </xf>
    <xf numFmtId="0" fontId="10" fillId="11" borderId="57" xfId="2" applyFont="1" applyFill="1" applyBorder="1" applyAlignment="1">
      <alignment horizontal="left" vertical="center" wrapText="1"/>
    </xf>
    <xf numFmtId="0" fontId="10" fillId="2" borderId="57" xfId="2" applyFont="1" applyFill="1" applyBorder="1" applyAlignment="1">
      <alignment horizontal="left" vertical="center"/>
    </xf>
    <xf numFmtId="0" fontId="8" fillId="4" borderId="19" xfId="2" applyFont="1" applyFill="1" applyBorder="1" applyAlignment="1">
      <alignment horizontal="left" vertical="center"/>
    </xf>
    <xf numFmtId="0" fontId="8" fillId="2" borderId="18" xfId="2" applyFont="1" applyFill="1" applyBorder="1" applyAlignment="1">
      <alignment horizontal="left" vertical="center"/>
    </xf>
    <xf numFmtId="0" fontId="50" fillId="4" borderId="21" xfId="0" applyFont="1" applyFill="1" applyBorder="1" applyAlignment="1">
      <alignment horizontal="center" vertical="center"/>
    </xf>
    <xf numFmtId="0" fontId="8" fillId="4" borderId="125" xfId="0" applyFont="1" applyFill="1" applyBorder="1" applyAlignment="1">
      <alignment horizontal="center" vertical="center" wrapText="1"/>
    </xf>
    <xf numFmtId="0" fontId="6" fillId="0" borderId="93" xfId="0" applyFont="1" applyBorder="1" applyAlignment="1">
      <alignment horizontal="center"/>
    </xf>
    <xf numFmtId="0" fontId="8" fillId="0" borderId="19" xfId="0" applyFont="1" applyBorder="1" applyAlignment="1">
      <alignment horizontal="center"/>
    </xf>
    <xf numFmtId="0" fontId="28" fillId="4" borderId="54" xfId="0" applyFont="1" applyFill="1" applyBorder="1" applyAlignment="1">
      <alignment horizontal="left" vertical="center"/>
    </xf>
    <xf numFmtId="0" fontId="8" fillId="2" borderId="16" xfId="0" applyFont="1" applyFill="1" applyBorder="1" applyAlignment="1">
      <alignment horizontal="left" vertical="center"/>
    </xf>
    <xf numFmtId="0" fontId="3" fillId="0" borderId="126" xfId="0" applyFont="1" applyBorder="1"/>
    <xf numFmtId="0" fontId="28" fillId="4" borderId="19" xfId="0" applyFont="1" applyFill="1" applyBorder="1" applyAlignment="1">
      <alignment horizontal="left" vertical="center"/>
    </xf>
    <xf numFmtId="0" fontId="8" fillId="2" borderId="16" xfId="0" applyFont="1" applyFill="1" applyBorder="1" applyAlignment="1">
      <alignment horizontal="left" vertical="center" wrapText="1"/>
    </xf>
    <xf numFmtId="0" fontId="9" fillId="5" borderId="21" xfId="0" applyFont="1" applyFill="1" applyBorder="1" applyAlignment="1">
      <alignment horizontal="center" vertical="center"/>
    </xf>
    <xf numFmtId="0" fontId="16" fillId="0" borderId="113" xfId="0" applyFont="1" applyBorder="1" applyAlignment="1">
      <alignment horizontal="center" vertical="center"/>
    </xf>
    <xf numFmtId="0" fontId="3" fillId="0" borderId="115" xfId="0" applyFont="1" applyBorder="1"/>
    <xf numFmtId="0" fontId="3" fillId="0" borderId="127" xfId="0" applyFont="1" applyBorder="1"/>
    <xf numFmtId="0" fontId="16" fillId="0" borderId="128" xfId="0" applyFont="1" applyBorder="1" applyAlignment="1">
      <alignment horizontal="center" vertical="center"/>
    </xf>
    <xf numFmtId="0" fontId="3" fillId="0" borderId="84" xfId="0" applyFont="1" applyBorder="1"/>
    <xf numFmtId="0" fontId="1" fillId="0" borderId="114" xfId="0" applyFont="1" applyBorder="1" applyAlignment="1">
      <alignment horizontal="center" vertical="center"/>
    </xf>
    <xf numFmtId="0" fontId="3" fillId="0" borderId="116" xfId="0" applyFont="1" applyBorder="1"/>
    <xf numFmtId="0" fontId="1" fillId="11" borderId="118" xfId="0" applyFont="1" applyFill="1" applyBorder="1" applyAlignment="1">
      <alignment horizontal="center" vertical="center"/>
    </xf>
    <xf numFmtId="0" fontId="3" fillId="0" borderId="71" xfId="0" applyFont="1" applyBorder="1"/>
    <xf numFmtId="0" fontId="9" fillId="5" borderId="21" xfId="0" applyFont="1" applyFill="1" applyBorder="1" applyAlignment="1">
      <alignment horizontal="center"/>
    </xf>
    <xf numFmtId="0" fontId="1" fillId="0" borderId="24" xfId="0" applyFont="1" applyBorder="1" applyAlignment="1">
      <alignment horizontal="center" vertical="center" wrapText="1"/>
    </xf>
    <xf numFmtId="0" fontId="1" fillId="0" borderId="118" xfId="0" applyFont="1" applyFill="1" applyBorder="1" applyAlignment="1">
      <alignment horizontal="center" vertical="center"/>
    </xf>
    <xf numFmtId="0" fontId="3" fillId="0" borderId="27" xfId="0" applyFont="1" applyFill="1" applyBorder="1"/>
    <xf numFmtId="0" fontId="3" fillId="0" borderId="71" xfId="0" applyFont="1" applyFill="1" applyBorder="1"/>
    <xf numFmtId="0" fontId="1" fillId="0" borderId="122" xfId="0" applyFont="1" applyBorder="1" applyAlignment="1">
      <alignment horizontal="center" vertical="center"/>
    </xf>
    <xf numFmtId="0" fontId="3" fillId="0" borderId="78" xfId="0" applyFont="1" applyBorder="1"/>
    <xf numFmtId="0" fontId="1" fillId="2" borderId="118" xfId="0" applyFont="1" applyFill="1" applyBorder="1" applyAlignment="1">
      <alignment horizontal="center" vertical="center"/>
    </xf>
    <xf numFmtId="0" fontId="16" fillId="0" borderId="114" xfId="0" applyFont="1" applyBorder="1" applyAlignment="1">
      <alignment horizontal="center" vertical="center"/>
    </xf>
    <xf numFmtId="0" fontId="1" fillId="0" borderId="42" xfId="0" applyFont="1" applyBorder="1" applyAlignment="1">
      <alignment horizontal="center" vertical="center" wrapText="1"/>
    </xf>
    <xf numFmtId="0" fontId="22" fillId="0" borderId="114" xfId="0" applyFont="1" applyBorder="1" applyAlignment="1">
      <alignment horizontal="center" vertical="center"/>
    </xf>
    <xf numFmtId="0" fontId="1" fillId="2" borderId="114" xfId="0" applyFont="1" applyFill="1" applyBorder="1" applyAlignment="1">
      <alignment horizontal="center" vertical="center"/>
    </xf>
    <xf numFmtId="0" fontId="1" fillId="0" borderId="47" xfId="0" applyFont="1" applyBorder="1" applyAlignment="1">
      <alignment horizontal="left" vertical="center"/>
    </xf>
    <xf numFmtId="0" fontId="1" fillId="0" borderId="0" xfId="0" applyFont="1" applyAlignment="1">
      <alignment horizontal="center" wrapText="1"/>
    </xf>
    <xf numFmtId="0" fontId="1" fillId="11" borderId="114" xfId="0" applyFont="1" applyFill="1" applyBorder="1" applyAlignment="1">
      <alignment horizontal="center" vertical="center"/>
    </xf>
    <xf numFmtId="0" fontId="1" fillId="0" borderId="114" xfId="0" applyFont="1" applyFill="1" applyBorder="1" applyAlignment="1">
      <alignment horizontal="center" vertical="center"/>
    </xf>
    <xf numFmtId="0" fontId="3" fillId="0" borderId="115" xfId="0" applyFont="1" applyFill="1" applyBorder="1"/>
    <xf numFmtId="0" fontId="3" fillId="0" borderId="116" xfId="0" applyFont="1" applyFill="1" applyBorder="1"/>
    <xf numFmtId="0" fontId="1" fillId="0" borderId="47" xfId="0" applyFont="1" applyBorder="1" applyAlignment="1">
      <alignment horizontal="left" vertical="center" wrapText="1"/>
    </xf>
    <xf numFmtId="0" fontId="1" fillId="11" borderId="24" xfId="0" applyFont="1" applyFill="1" applyBorder="1" applyAlignment="1">
      <alignment horizontal="center" vertical="center" wrapText="1"/>
    </xf>
    <xf numFmtId="0" fontId="1" fillId="11" borderId="42"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42" xfId="0" applyFont="1" applyFill="1" applyBorder="1" applyAlignment="1">
      <alignment horizontal="center" vertical="center" wrapText="1"/>
    </xf>
  </cellXfs>
  <cellStyles count="3">
    <cellStyle name="Moneda" xfId="1" builtinId="4"/>
    <cellStyle name="Normal" xfId="0" builtinId="0"/>
    <cellStyle name="Normal 2" xfId="2" xr:uid="{00000000-0005-0000-0000-000002000000}"/>
  </cellStyles>
  <dxfs count="0"/>
  <tableStyles count="0" defaultTableStyle="TableStyleMedium2" defaultPivotStyle="PivotStyleLight16"/>
  <colors>
    <mruColors>
      <color rgb="FF86EDF8"/>
      <color rgb="FF87F7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514350</xdr:colOff>
      <xdr:row>1</xdr:row>
      <xdr:rowOff>133350</xdr:rowOff>
    </xdr:from>
    <xdr:ext cx="3762375" cy="7524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76200</xdr:rowOff>
    </xdr:from>
    <xdr:ext cx="2524125" cy="857250"/>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314325</xdr:colOff>
      <xdr:row>0</xdr:row>
      <xdr:rowOff>333375</xdr:rowOff>
    </xdr:from>
    <xdr:ext cx="2800350" cy="10096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466975" cy="457200"/>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2466975" cy="4572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9525</xdr:colOff>
      <xdr:row>0</xdr:row>
      <xdr:rowOff>200025</xdr:rowOff>
    </xdr:from>
    <xdr:ext cx="2124075" cy="847725"/>
    <xdr:pic>
      <xdr:nvPicPr>
        <xdr:cNvPr id="2" name="image3.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3BC72B5/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hyperlink" Target="https://drive.google.com/drive/u/1/folders/1ni390p2SPGzsHn8uJ2qsVs4DLWMzmCEf" TargetMode="External"/><Relationship Id="rId13" Type="http://schemas.openxmlformats.org/officeDocument/2006/relationships/hyperlink" Target="https://drive.google.com/drive/u/1/folders/1ni390p2SPGzsHn8uJ2qsVs4DLWMzmCEf" TargetMode="External"/><Relationship Id="rId18" Type="http://schemas.openxmlformats.org/officeDocument/2006/relationships/hyperlink" Target="https://drive.google.com/drive/u/1/folders/1ni390p2SPGzsHn8uJ2qsVs4DLWMzmCEf" TargetMode="External"/><Relationship Id="rId3" Type="http://schemas.openxmlformats.org/officeDocument/2006/relationships/hyperlink" Target="https://drive.google.com/drive/u/1/folders/1ni390p2SPGzsHn8uJ2qsVs4DLWMzmCEf" TargetMode="External"/><Relationship Id="rId21" Type="http://schemas.openxmlformats.org/officeDocument/2006/relationships/hyperlink" Target="https://drive.google.com/drive/u/1/folders/1ni390p2SPGzsHn8uJ2qsVs4DLWMzmCEf" TargetMode="External"/><Relationship Id="rId7" Type="http://schemas.openxmlformats.org/officeDocument/2006/relationships/hyperlink" Target="https://drive.google.com/drive/u/1/folders/1ni390p2SPGzsHn8uJ2qsVs4DLWMzmCEf" TargetMode="External"/><Relationship Id="rId12" Type="http://schemas.openxmlformats.org/officeDocument/2006/relationships/hyperlink" Target="https://drive.google.com/drive/u/1/folders/1ni390p2SPGzsHn8uJ2qsVs4DLWMzmCEf" TargetMode="External"/><Relationship Id="rId17" Type="http://schemas.openxmlformats.org/officeDocument/2006/relationships/hyperlink" Target="https://drive.google.com/drive/u/1/folders/1ni390p2SPGzsHn8uJ2qsVs4DLWMzmCEf" TargetMode="External"/><Relationship Id="rId25" Type="http://schemas.openxmlformats.org/officeDocument/2006/relationships/comments" Target="../comments4.xml"/><Relationship Id="rId2" Type="http://schemas.openxmlformats.org/officeDocument/2006/relationships/hyperlink" Target="https://drive.google.com/drive/u/1/folders/1ni390p2SPGzsHn8uJ2qsVs4DLWMzmCEf" TargetMode="External"/><Relationship Id="rId16" Type="http://schemas.openxmlformats.org/officeDocument/2006/relationships/hyperlink" Target="https://drive.google.com/drive/u/1/folders/1ni390p2SPGzsHn8uJ2qsVs4DLWMzmCEf" TargetMode="External"/><Relationship Id="rId20" Type="http://schemas.openxmlformats.org/officeDocument/2006/relationships/hyperlink" Target="https://drive.google.com/drive/u/1/folders/1ni390p2SPGzsHn8uJ2qsVs4DLWMzmCEf" TargetMode="External"/><Relationship Id="rId1" Type="http://schemas.openxmlformats.org/officeDocument/2006/relationships/hyperlink" Target="https://drive.google.com/drive/u/1/folders/1ni390p2SPGzsHn8uJ2qsVs4DLWMzmCEf" TargetMode="External"/><Relationship Id="rId6" Type="http://schemas.openxmlformats.org/officeDocument/2006/relationships/hyperlink" Target="https://drive.google.com/drive/u/1/folders/1ni390p2SPGzsHn8uJ2qsVs4DLWMzmCEf" TargetMode="External"/><Relationship Id="rId11" Type="http://schemas.openxmlformats.org/officeDocument/2006/relationships/hyperlink" Target="https://drive.google.com/drive/u/1/folders/1ni390p2SPGzsHn8uJ2qsVs4DLWMzmCEf" TargetMode="External"/><Relationship Id="rId24" Type="http://schemas.openxmlformats.org/officeDocument/2006/relationships/vmlDrawing" Target="../drawings/vmlDrawing4.vml"/><Relationship Id="rId5" Type="http://schemas.openxmlformats.org/officeDocument/2006/relationships/hyperlink" Target="https://drive.google.com/drive/u/1/folders/1ni390p2SPGzsHn8uJ2qsVs4DLWMzmCEf" TargetMode="External"/><Relationship Id="rId15" Type="http://schemas.openxmlformats.org/officeDocument/2006/relationships/hyperlink" Target="https://drive.google.com/drive/u/1/folders/1ni390p2SPGzsHn8uJ2qsVs4DLWMzmCEf" TargetMode="External"/><Relationship Id="rId23" Type="http://schemas.openxmlformats.org/officeDocument/2006/relationships/drawing" Target="../drawings/drawing4.xml"/><Relationship Id="rId10" Type="http://schemas.openxmlformats.org/officeDocument/2006/relationships/hyperlink" Target="https://drive.google.com/drive/u/1/folders/1ni390p2SPGzsHn8uJ2qsVs4DLWMzmCEf" TargetMode="External"/><Relationship Id="rId19" Type="http://schemas.openxmlformats.org/officeDocument/2006/relationships/hyperlink" Target="https://drive.google.com/drive/u/1/folders/1ni390p2SPGzsHn8uJ2qsVs4DLWMzmCEf" TargetMode="External"/><Relationship Id="rId4" Type="http://schemas.openxmlformats.org/officeDocument/2006/relationships/hyperlink" Target="https://drive.google.com/drive/u/1/folders/1ni390p2SPGzsHn8uJ2qsVs4DLWMzmCEf" TargetMode="External"/><Relationship Id="rId9" Type="http://schemas.openxmlformats.org/officeDocument/2006/relationships/hyperlink" Target="https://drive.google.com/drive/u/1/folders/1ni390p2SPGzsHn8uJ2qsVs4DLWMzmCEf" TargetMode="External"/><Relationship Id="rId14" Type="http://schemas.openxmlformats.org/officeDocument/2006/relationships/hyperlink" Target="https://drive.google.com/drive/u/1/folders/1ni390p2SPGzsHn8uJ2qsVs4DLWMzmCEf" TargetMode="External"/><Relationship Id="rId22"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E222"/>
  <sheetViews>
    <sheetView showGridLines="0" topLeftCell="CY5" zoomScale="62" zoomScaleNormal="62" workbookViewId="0">
      <selection activeCell="DP14" sqref="DP14"/>
    </sheetView>
  </sheetViews>
  <sheetFormatPr baseColWidth="10" defaultColWidth="14.42578125" defaultRowHeight="15" customHeight="1" x14ac:dyDescent="0.25"/>
  <cols>
    <col min="1" max="1" width="11.7109375" customWidth="1"/>
    <col min="2" max="2" width="12.7109375" customWidth="1"/>
    <col min="3" max="3" width="8.7109375" customWidth="1"/>
    <col min="4" max="4" width="49.7109375" customWidth="1"/>
    <col min="5" max="5" width="7.42578125" customWidth="1"/>
    <col min="6" max="6" width="26.7109375" customWidth="1"/>
    <col min="7" max="7" width="12.7109375" customWidth="1"/>
    <col min="8" max="8" width="20" customWidth="1"/>
    <col min="9" max="9" width="15.140625" customWidth="1"/>
    <col min="10" max="23" width="15.7109375" hidden="1" customWidth="1"/>
    <col min="24" max="24" width="14.28515625" hidden="1" customWidth="1"/>
    <col min="25" max="25" width="15" hidden="1" customWidth="1"/>
    <col min="26" max="26" width="16.42578125" hidden="1" customWidth="1"/>
    <col min="27" max="27" width="17.28515625" hidden="1" customWidth="1"/>
    <col min="28" max="29" width="18.140625" customWidth="1"/>
    <col min="30" max="30" width="15.7109375" hidden="1" customWidth="1"/>
    <col min="31" max="47" width="10.7109375" hidden="1" customWidth="1"/>
    <col min="48" max="48" width="15.42578125" hidden="1" customWidth="1"/>
    <col min="49" max="49" width="10.7109375" hidden="1" customWidth="1"/>
    <col min="50" max="50" width="15" hidden="1" customWidth="1"/>
    <col min="51" max="51" width="10.7109375" hidden="1" customWidth="1"/>
    <col min="52" max="52" width="16" hidden="1" customWidth="1"/>
    <col min="53" max="53" width="10.7109375" hidden="1" customWidth="1"/>
    <col min="54" max="54" width="18.42578125" hidden="1" customWidth="1"/>
    <col min="55" max="55" width="16" hidden="1" customWidth="1"/>
    <col min="56" max="56" width="14.42578125" hidden="1" customWidth="1"/>
    <col min="57" max="57" width="15" hidden="1" customWidth="1"/>
    <col min="58" max="59" width="19.7109375" customWidth="1"/>
    <col min="60" max="60" width="15.42578125" hidden="1" customWidth="1"/>
    <col min="61" max="64" width="10.7109375" hidden="1" customWidth="1"/>
    <col min="65" max="65" width="11.42578125" hidden="1" customWidth="1"/>
    <col min="66" max="77" width="10.7109375" hidden="1" customWidth="1"/>
    <col min="78" max="78" width="14.7109375" hidden="1" customWidth="1"/>
    <col min="79" max="82" width="10.7109375" hidden="1" customWidth="1"/>
    <col min="83" max="83" width="18.42578125" hidden="1" customWidth="1"/>
    <col min="84" max="84" width="10.7109375" hidden="1" customWidth="1"/>
    <col min="85" max="85" width="15" hidden="1" customWidth="1"/>
    <col min="86" max="86" width="14.7109375" hidden="1" customWidth="1"/>
    <col min="87" max="87" width="15.42578125" hidden="1" customWidth="1"/>
    <col min="88" max="90" width="17" customWidth="1"/>
    <col min="91" max="91" width="10.7109375" customWidth="1"/>
    <col min="92" max="92" width="11.42578125" customWidth="1"/>
    <col min="93" max="114" width="10.7109375" customWidth="1"/>
    <col min="115" max="118" width="21.5703125" customWidth="1"/>
    <col min="119" max="119" width="22.42578125" customWidth="1"/>
    <col min="120" max="120" width="19.28515625" customWidth="1"/>
    <col min="121" max="129" width="10.7109375" hidden="1" customWidth="1"/>
    <col min="130" max="149" width="15.42578125" hidden="1" customWidth="1"/>
    <col min="150" max="154" width="19.85546875" customWidth="1"/>
    <col min="155" max="155" width="27" customWidth="1"/>
    <col min="156" max="156" width="18" customWidth="1"/>
    <col min="157" max="157" width="26.140625" customWidth="1"/>
    <col min="158" max="158" width="42.28515625" customWidth="1"/>
    <col min="159" max="159" width="41" customWidth="1"/>
    <col min="160" max="161" width="10.7109375" customWidth="1"/>
  </cols>
  <sheetData>
    <row r="1" spans="1:161" x14ac:dyDescent="0.25">
      <c r="C1" s="1"/>
      <c r="D1" s="1"/>
      <c r="E1" s="1"/>
      <c r="F1" s="1"/>
      <c r="G1" s="1"/>
      <c r="H1" s="1"/>
      <c r="I1" s="2"/>
      <c r="J1" s="2"/>
      <c r="K1" s="2"/>
      <c r="L1" s="2"/>
      <c r="M1" s="2"/>
      <c r="N1" s="2"/>
      <c r="O1" s="2"/>
      <c r="P1" s="2"/>
      <c r="Q1" s="2"/>
      <c r="R1" s="2"/>
      <c r="S1" s="2"/>
      <c r="T1" s="2"/>
      <c r="U1" s="2"/>
      <c r="V1" s="2"/>
      <c r="W1" s="2"/>
      <c r="X1" s="2"/>
      <c r="Y1" s="2"/>
      <c r="Z1" s="2"/>
      <c r="AA1" s="2"/>
      <c r="AB1" s="3"/>
      <c r="AC1" s="3"/>
      <c r="AD1" s="3"/>
      <c r="AE1" s="3"/>
      <c r="AF1" s="3"/>
      <c r="AG1" s="3"/>
      <c r="AH1" s="3"/>
      <c r="AI1" s="3"/>
      <c r="AJ1" s="3"/>
      <c r="AK1" s="3"/>
      <c r="AL1" s="3"/>
      <c r="AM1" s="3"/>
      <c r="AN1" s="3"/>
      <c r="AO1" s="3"/>
      <c r="AP1" s="3"/>
      <c r="AQ1" s="3"/>
      <c r="AR1" s="3"/>
      <c r="AS1" s="3"/>
      <c r="AT1" s="3"/>
      <c r="AU1" s="3"/>
      <c r="AV1" s="2"/>
      <c r="AW1" s="3"/>
      <c r="AX1" s="3"/>
      <c r="AY1" s="3"/>
      <c r="AZ1" s="3"/>
      <c r="BA1" s="3"/>
      <c r="BB1" s="2"/>
      <c r="BC1" s="3"/>
      <c r="BD1" s="3"/>
      <c r="BE1" s="3"/>
      <c r="BF1" s="3"/>
      <c r="BG1" s="3"/>
      <c r="BH1" s="2"/>
      <c r="BI1" s="2"/>
      <c r="BJ1" s="2"/>
      <c r="BK1" s="2"/>
      <c r="BL1" s="2"/>
      <c r="BM1" s="2"/>
      <c r="BN1" s="2"/>
      <c r="BO1" s="2"/>
      <c r="BP1" s="2"/>
      <c r="BQ1" s="2"/>
      <c r="BR1" s="2"/>
      <c r="BS1" s="2"/>
      <c r="BT1" s="2"/>
      <c r="BU1" s="2"/>
      <c r="BV1" s="2"/>
      <c r="BW1" s="2"/>
      <c r="BX1" s="2"/>
      <c r="BY1" s="2"/>
      <c r="BZ1" s="2"/>
      <c r="CA1" s="2"/>
      <c r="CB1" s="2"/>
      <c r="CC1" s="2"/>
      <c r="CD1" s="2"/>
      <c r="CE1" s="2"/>
      <c r="CF1" s="2"/>
      <c r="CG1" s="3"/>
      <c r="CH1" s="3"/>
      <c r="CI1" s="3"/>
      <c r="CJ1" s="3"/>
      <c r="CK1" s="3"/>
      <c r="CL1" s="3"/>
      <c r="CM1" s="3"/>
      <c r="CN1" s="3"/>
      <c r="CO1" s="3"/>
      <c r="CP1" s="3"/>
      <c r="CQ1" s="3"/>
      <c r="CR1" s="3"/>
      <c r="CS1" s="3"/>
      <c r="CT1" s="4"/>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Y1" s="1"/>
      <c r="EZ1" s="1"/>
      <c r="FA1" s="1"/>
    </row>
    <row r="2" spans="1:161" ht="31.5" x14ac:dyDescent="0.5">
      <c r="A2" s="669"/>
      <c r="B2" s="670"/>
      <c r="C2" s="670"/>
      <c r="D2" s="670"/>
      <c r="E2" s="670"/>
      <c r="F2" s="671"/>
      <c r="G2" s="678" t="s">
        <v>0</v>
      </c>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679"/>
      <c r="AI2" s="679"/>
      <c r="AJ2" s="679"/>
      <c r="AK2" s="679"/>
      <c r="AL2" s="679"/>
      <c r="AM2" s="679"/>
      <c r="AN2" s="679"/>
      <c r="AO2" s="679"/>
      <c r="AP2" s="679"/>
      <c r="AQ2" s="679"/>
      <c r="AR2" s="679"/>
      <c r="AS2" s="679"/>
      <c r="AT2" s="679"/>
      <c r="AU2" s="679"/>
      <c r="AV2" s="679"/>
      <c r="AW2" s="679"/>
      <c r="AX2" s="679"/>
      <c r="AY2" s="679"/>
      <c r="AZ2" s="679"/>
      <c r="BA2" s="679"/>
      <c r="BB2" s="679"/>
      <c r="BC2" s="679"/>
      <c r="BD2" s="679"/>
      <c r="BE2" s="679"/>
      <c r="BF2" s="679"/>
      <c r="BG2" s="679"/>
      <c r="BH2" s="679"/>
      <c r="BI2" s="679"/>
      <c r="BJ2" s="679"/>
      <c r="BK2" s="679"/>
      <c r="BL2" s="679"/>
      <c r="BM2" s="679"/>
      <c r="BN2" s="679"/>
      <c r="BO2" s="679"/>
      <c r="BP2" s="679"/>
      <c r="BQ2" s="679"/>
      <c r="BR2" s="679"/>
      <c r="BS2" s="679"/>
      <c r="BT2" s="679"/>
      <c r="BU2" s="679"/>
      <c r="BV2" s="679"/>
      <c r="BW2" s="679"/>
      <c r="BX2" s="679"/>
      <c r="BY2" s="679"/>
      <c r="BZ2" s="679"/>
      <c r="CA2" s="679"/>
      <c r="CB2" s="679"/>
      <c r="CC2" s="679"/>
      <c r="CD2" s="679"/>
      <c r="CE2" s="679"/>
      <c r="CF2" s="679"/>
      <c r="CG2" s="679"/>
      <c r="CH2" s="679"/>
      <c r="CI2" s="679"/>
      <c r="CJ2" s="679"/>
      <c r="CK2" s="679"/>
      <c r="CL2" s="679"/>
      <c r="CM2" s="679"/>
      <c r="CN2" s="679"/>
      <c r="CO2" s="679"/>
      <c r="CP2" s="679"/>
      <c r="CQ2" s="679"/>
      <c r="CR2" s="679"/>
      <c r="CS2" s="679"/>
      <c r="CT2" s="679"/>
      <c r="CU2" s="679"/>
      <c r="CV2" s="679"/>
      <c r="CW2" s="679"/>
      <c r="CX2" s="679"/>
      <c r="CY2" s="679"/>
      <c r="CZ2" s="679"/>
      <c r="DA2" s="679"/>
      <c r="DB2" s="679"/>
      <c r="DC2" s="679"/>
      <c r="DD2" s="679"/>
      <c r="DE2" s="679"/>
      <c r="DF2" s="679"/>
      <c r="DG2" s="679"/>
      <c r="DH2" s="679"/>
      <c r="DI2" s="679"/>
      <c r="DJ2" s="679"/>
      <c r="DK2" s="679"/>
      <c r="DL2" s="679"/>
      <c r="DM2" s="679"/>
      <c r="DN2" s="679"/>
      <c r="DO2" s="679"/>
      <c r="DP2" s="679"/>
      <c r="DQ2" s="679"/>
      <c r="DR2" s="679"/>
      <c r="DS2" s="679"/>
      <c r="DT2" s="679"/>
      <c r="DU2" s="679"/>
      <c r="DV2" s="679"/>
      <c r="DW2" s="679"/>
      <c r="DX2" s="679"/>
      <c r="DY2" s="679"/>
      <c r="DZ2" s="679"/>
      <c r="EA2" s="679"/>
      <c r="EB2" s="679"/>
      <c r="EC2" s="679"/>
      <c r="ED2" s="679"/>
      <c r="EE2" s="679"/>
      <c r="EF2" s="679"/>
      <c r="EG2" s="679"/>
      <c r="EH2" s="679"/>
      <c r="EI2" s="679"/>
      <c r="EJ2" s="679"/>
      <c r="EK2" s="679"/>
      <c r="EL2" s="679"/>
      <c r="EM2" s="679"/>
      <c r="EN2" s="679"/>
      <c r="EO2" s="679"/>
      <c r="EP2" s="679"/>
      <c r="EQ2" s="679"/>
      <c r="ER2" s="679"/>
      <c r="ES2" s="679"/>
      <c r="ET2" s="679"/>
      <c r="EU2" s="679"/>
      <c r="EV2" s="679"/>
      <c r="EW2" s="679"/>
      <c r="EX2" s="679"/>
      <c r="EY2" s="679"/>
      <c r="EZ2" s="679"/>
      <c r="FA2" s="679"/>
      <c r="FB2" s="679"/>
      <c r="FC2" s="680"/>
      <c r="FD2" s="5"/>
      <c r="FE2" s="5"/>
    </row>
    <row r="3" spans="1:161" ht="40.5" customHeight="1" x14ac:dyDescent="0.6">
      <c r="A3" s="672"/>
      <c r="B3" s="673"/>
      <c r="C3" s="673"/>
      <c r="D3" s="673"/>
      <c r="E3" s="673"/>
      <c r="F3" s="674"/>
      <c r="G3" s="681" t="s">
        <v>1</v>
      </c>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3"/>
      <c r="FD3" s="5"/>
      <c r="FE3" s="5"/>
    </row>
    <row r="4" spans="1:161" ht="26.25" x14ac:dyDescent="0.4">
      <c r="A4" s="675"/>
      <c r="B4" s="676"/>
      <c r="C4" s="676"/>
      <c r="D4" s="676"/>
      <c r="E4" s="676"/>
      <c r="F4" s="677"/>
      <c r="G4" s="684" t="s">
        <v>2</v>
      </c>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6"/>
      <c r="ET4" s="687" t="s">
        <v>3</v>
      </c>
      <c r="EU4" s="685"/>
      <c r="EV4" s="685"/>
      <c r="EW4" s="685"/>
      <c r="EX4" s="685"/>
      <c r="EY4" s="685"/>
      <c r="EZ4" s="685"/>
      <c r="FA4" s="685"/>
      <c r="FB4" s="685"/>
      <c r="FC4" s="688"/>
      <c r="FD4" s="6"/>
      <c r="FE4" s="6"/>
    </row>
    <row r="5" spans="1:161" ht="40.5" customHeight="1" x14ac:dyDescent="0.25">
      <c r="A5" s="689" t="s">
        <v>4</v>
      </c>
      <c r="B5" s="679"/>
      <c r="C5" s="679"/>
      <c r="D5" s="679"/>
      <c r="E5" s="679"/>
      <c r="F5" s="680"/>
      <c r="G5" s="690" t="s">
        <v>209</v>
      </c>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5"/>
      <c r="AL5" s="685"/>
      <c r="AM5" s="685"/>
      <c r="AN5" s="685"/>
      <c r="AO5" s="685"/>
      <c r="AP5" s="685"/>
      <c r="AQ5" s="685"/>
      <c r="AR5" s="685"/>
      <c r="AS5" s="685"/>
      <c r="AT5" s="685"/>
      <c r="AU5" s="685"/>
      <c r="AV5" s="685"/>
      <c r="AW5" s="685"/>
      <c r="AX5" s="685"/>
      <c r="AY5" s="685"/>
      <c r="AZ5" s="685"/>
      <c r="BA5" s="685"/>
      <c r="BB5" s="685"/>
      <c r="BC5" s="685"/>
      <c r="BD5" s="685"/>
      <c r="BE5" s="685"/>
      <c r="BF5" s="685"/>
      <c r="BG5" s="685"/>
      <c r="BH5" s="685"/>
      <c r="BI5" s="685"/>
      <c r="BJ5" s="685"/>
      <c r="BK5" s="685"/>
      <c r="BL5" s="685"/>
      <c r="BM5" s="685"/>
      <c r="BN5" s="685"/>
      <c r="BO5" s="685"/>
      <c r="BP5" s="685"/>
      <c r="BQ5" s="685"/>
      <c r="BR5" s="685"/>
      <c r="BS5" s="685"/>
      <c r="BT5" s="685"/>
      <c r="BU5" s="685"/>
      <c r="BV5" s="685"/>
      <c r="BW5" s="685"/>
      <c r="BX5" s="685"/>
      <c r="BY5" s="685"/>
      <c r="BZ5" s="685"/>
      <c r="CA5" s="685"/>
      <c r="CB5" s="685"/>
      <c r="CC5" s="685"/>
      <c r="CD5" s="685"/>
      <c r="CE5" s="685"/>
      <c r="CF5" s="685"/>
      <c r="CG5" s="685"/>
      <c r="CH5" s="685"/>
      <c r="CI5" s="685"/>
      <c r="CJ5" s="685"/>
      <c r="CK5" s="685"/>
      <c r="CL5" s="685"/>
      <c r="CM5" s="685"/>
      <c r="CN5" s="685"/>
      <c r="CO5" s="685"/>
      <c r="CP5" s="685"/>
      <c r="CQ5" s="685"/>
      <c r="CR5" s="685"/>
      <c r="CS5" s="685"/>
      <c r="CT5" s="685"/>
      <c r="CU5" s="685"/>
      <c r="CV5" s="685"/>
      <c r="CW5" s="685"/>
      <c r="CX5" s="685"/>
      <c r="CY5" s="685"/>
      <c r="CZ5" s="685"/>
      <c r="DA5" s="685"/>
      <c r="DB5" s="685"/>
      <c r="DC5" s="685"/>
      <c r="DD5" s="685"/>
      <c r="DE5" s="685"/>
      <c r="DF5" s="685"/>
      <c r="DG5" s="685"/>
      <c r="DH5" s="685"/>
      <c r="DI5" s="685"/>
      <c r="DJ5" s="685"/>
      <c r="DK5" s="685"/>
      <c r="DL5" s="685"/>
      <c r="DM5" s="685"/>
      <c r="DN5" s="685"/>
      <c r="DO5" s="685"/>
      <c r="DP5" s="685"/>
      <c r="DQ5" s="685"/>
      <c r="DR5" s="685"/>
      <c r="DS5" s="685"/>
      <c r="DT5" s="685"/>
      <c r="DU5" s="685"/>
      <c r="DV5" s="685"/>
      <c r="DW5" s="685"/>
      <c r="DX5" s="685"/>
      <c r="DY5" s="685"/>
      <c r="DZ5" s="685"/>
      <c r="EA5" s="685"/>
      <c r="EB5" s="685"/>
      <c r="EC5" s="685"/>
      <c r="ED5" s="685"/>
      <c r="EE5" s="685"/>
      <c r="EF5" s="685"/>
      <c r="EG5" s="685"/>
      <c r="EH5" s="685"/>
      <c r="EI5" s="685"/>
      <c r="EJ5" s="685"/>
      <c r="EK5" s="685"/>
      <c r="EL5" s="685"/>
      <c r="EM5" s="685"/>
      <c r="EN5" s="685"/>
      <c r="EO5" s="685"/>
      <c r="EP5" s="685"/>
      <c r="EQ5" s="685"/>
      <c r="ER5" s="685"/>
      <c r="ES5" s="685"/>
      <c r="ET5" s="685"/>
      <c r="EU5" s="685"/>
      <c r="EV5" s="685"/>
      <c r="EW5" s="685"/>
      <c r="EX5" s="685"/>
      <c r="EY5" s="685"/>
      <c r="EZ5" s="685"/>
      <c r="FA5" s="685"/>
      <c r="FB5" s="685"/>
      <c r="FC5" s="688"/>
    </row>
    <row r="6" spans="1:161" ht="33" customHeight="1" x14ac:dyDescent="0.25">
      <c r="A6" s="689" t="s">
        <v>5</v>
      </c>
      <c r="B6" s="679"/>
      <c r="C6" s="679"/>
      <c r="D6" s="679"/>
      <c r="E6" s="679"/>
      <c r="F6" s="680"/>
      <c r="G6" s="690" t="s">
        <v>6</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685"/>
      <c r="AK6" s="685"/>
      <c r="AL6" s="685"/>
      <c r="AM6" s="685"/>
      <c r="AN6" s="685"/>
      <c r="AO6" s="685"/>
      <c r="AP6" s="685"/>
      <c r="AQ6" s="685"/>
      <c r="AR6" s="685"/>
      <c r="AS6" s="685"/>
      <c r="AT6" s="685"/>
      <c r="AU6" s="685"/>
      <c r="AV6" s="685"/>
      <c r="AW6" s="685"/>
      <c r="AX6" s="685"/>
      <c r="AY6" s="685"/>
      <c r="AZ6" s="685"/>
      <c r="BA6" s="685"/>
      <c r="BB6" s="685"/>
      <c r="BC6" s="685"/>
      <c r="BD6" s="685"/>
      <c r="BE6" s="685"/>
      <c r="BF6" s="685"/>
      <c r="BG6" s="685"/>
      <c r="BH6" s="685"/>
      <c r="BI6" s="685"/>
      <c r="BJ6" s="685"/>
      <c r="BK6" s="685"/>
      <c r="BL6" s="685"/>
      <c r="BM6" s="685"/>
      <c r="BN6" s="685"/>
      <c r="BO6" s="685"/>
      <c r="BP6" s="685"/>
      <c r="BQ6" s="685"/>
      <c r="BR6" s="685"/>
      <c r="BS6" s="685"/>
      <c r="BT6" s="685"/>
      <c r="BU6" s="685"/>
      <c r="BV6" s="685"/>
      <c r="BW6" s="685"/>
      <c r="BX6" s="685"/>
      <c r="BY6" s="685"/>
      <c r="BZ6" s="685"/>
      <c r="CA6" s="685"/>
      <c r="CB6" s="685"/>
      <c r="CC6" s="685"/>
      <c r="CD6" s="685"/>
      <c r="CE6" s="685"/>
      <c r="CF6" s="685"/>
      <c r="CG6" s="685"/>
      <c r="CH6" s="685"/>
      <c r="CI6" s="685"/>
      <c r="CJ6" s="685"/>
      <c r="CK6" s="685"/>
      <c r="CL6" s="685"/>
      <c r="CM6" s="685"/>
      <c r="CN6" s="685"/>
      <c r="CO6" s="685"/>
      <c r="CP6" s="685"/>
      <c r="CQ6" s="685"/>
      <c r="CR6" s="685"/>
      <c r="CS6" s="685"/>
      <c r="CT6" s="685"/>
      <c r="CU6" s="685"/>
      <c r="CV6" s="685"/>
      <c r="CW6" s="685"/>
      <c r="CX6" s="685"/>
      <c r="CY6" s="685"/>
      <c r="CZ6" s="685"/>
      <c r="DA6" s="685"/>
      <c r="DB6" s="685"/>
      <c r="DC6" s="685"/>
      <c r="DD6" s="685"/>
      <c r="DE6" s="685"/>
      <c r="DF6" s="685"/>
      <c r="DG6" s="685"/>
      <c r="DH6" s="685"/>
      <c r="DI6" s="685"/>
      <c r="DJ6" s="685"/>
      <c r="DK6" s="685"/>
      <c r="DL6" s="685"/>
      <c r="DM6" s="685"/>
      <c r="DN6" s="685"/>
      <c r="DO6" s="685"/>
      <c r="DP6" s="685"/>
      <c r="DQ6" s="685"/>
      <c r="DR6" s="685"/>
      <c r="DS6" s="685"/>
      <c r="DT6" s="685"/>
      <c r="DU6" s="685"/>
      <c r="DV6" s="685"/>
      <c r="DW6" s="685"/>
      <c r="DX6" s="685"/>
      <c r="DY6" s="685"/>
      <c r="DZ6" s="685"/>
      <c r="EA6" s="685"/>
      <c r="EB6" s="685"/>
      <c r="EC6" s="685"/>
      <c r="ED6" s="685"/>
      <c r="EE6" s="685"/>
      <c r="EF6" s="685"/>
      <c r="EG6" s="685"/>
      <c r="EH6" s="685"/>
      <c r="EI6" s="685"/>
      <c r="EJ6" s="685"/>
      <c r="EK6" s="685"/>
      <c r="EL6" s="685"/>
      <c r="EM6" s="685"/>
      <c r="EN6" s="685"/>
      <c r="EO6" s="685"/>
      <c r="EP6" s="685"/>
      <c r="EQ6" s="685"/>
      <c r="ER6" s="685"/>
      <c r="ES6" s="685"/>
      <c r="ET6" s="685"/>
      <c r="EU6" s="685"/>
      <c r="EV6" s="685"/>
      <c r="EW6" s="685"/>
      <c r="EX6" s="685"/>
      <c r="EY6" s="685"/>
      <c r="EZ6" s="685"/>
      <c r="FA6" s="685"/>
      <c r="FB6" s="685"/>
      <c r="FC6" s="688"/>
    </row>
    <row r="7" spans="1:161" ht="28.5" customHeight="1" x14ac:dyDescent="0.25">
      <c r="A7" s="689" t="s">
        <v>7</v>
      </c>
      <c r="B7" s="679"/>
      <c r="C7" s="679"/>
      <c r="D7" s="679"/>
      <c r="E7" s="679"/>
      <c r="F7" s="680"/>
      <c r="G7" s="690" t="s">
        <v>8</v>
      </c>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5"/>
      <c r="AI7" s="685"/>
      <c r="AJ7" s="685"/>
      <c r="AK7" s="685"/>
      <c r="AL7" s="685"/>
      <c r="AM7" s="685"/>
      <c r="AN7" s="685"/>
      <c r="AO7" s="685"/>
      <c r="AP7" s="685"/>
      <c r="AQ7" s="685"/>
      <c r="AR7" s="685"/>
      <c r="AS7" s="685"/>
      <c r="AT7" s="685"/>
      <c r="AU7" s="685"/>
      <c r="AV7" s="685"/>
      <c r="AW7" s="685"/>
      <c r="AX7" s="685"/>
      <c r="AY7" s="685"/>
      <c r="AZ7" s="685"/>
      <c r="BA7" s="685"/>
      <c r="BB7" s="685"/>
      <c r="BC7" s="685"/>
      <c r="BD7" s="685"/>
      <c r="BE7" s="685"/>
      <c r="BF7" s="685"/>
      <c r="BG7" s="685"/>
      <c r="BH7" s="685"/>
      <c r="BI7" s="685"/>
      <c r="BJ7" s="685"/>
      <c r="BK7" s="685"/>
      <c r="BL7" s="685"/>
      <c r="BM7" s="685"/>
      <c r="BN7" s="685"/>
      <c r="BO7" s="685"/>
      <c r="BP7" s="685"/>
      <c r="BQ7" s="685"/>
      <c r="BR7" s="685"/>
      <c r="BS7" s="685"/>
      <c r="BT7" s="685"/>
      <c r="BU7" s="685"/>
      <c r="BV7" s="685"/>
      <c r="BW7" s="685"/>
      <c r="BX7" s="685"/>
      <c r="BY7" s="685"/>
      <c r="BZ7" s="685"/>
      <c r="CA7" s="685"/>
      <c r="CB7" s="685"/>
      <c r="CC7" s="685"/>
      <c r="CD7" s="685"/>
      <c r="CE7" s="685"/>
      <c r="CF7" s="685"/>
      <c r="CG7" s="685"/>
      <c r="CH7" s="685"/>
      <c r="CI7" s="685"/>
      <c r="CJ7" s="685"/>
      <c r="CK7" s="685"/>
      <c r="CL7" s="685"/>
      <c r="CM7" s="685"/>
      <c r="CN7" s="685"/>
      <c r="CO7" s="685"/>
      <c r="CP7" s="685"/>
      <c r="CQ7" s="685"/>
      <c r="CR7" s="685"/>
      <c r="CS7" s="685"/>
      <c r="CT7" s="685"/>
      <c r="CU7" s="685"/>
      <c r="CV7" s="685"/>
      <c r="CW7" s="685"/>
      <c r="CX7" s="685"/>
      <c r="CY7" s="685"/>
      <c r="CZ7" s="685"/>
      <c r="DA7" s="685"/>
      <c r="DB7" s="685"/>
      <c r="DC7" s="685"/>
      <c r="DD7" s="685"/>
      <c r="DE7" s="685"/>
      <c r="DF7" s="685"/>
      <c r="DG7" s="685"/>
      <c r="DH7" s="685"/>
      <c r="DI7" s="685"/>
      <c r="DJ7" s="685"/>
      <c r="DK7" s="685"/>
      <c r="DL7" s="685"/>
      <c r="DM7" s="685"/>
      <c r="DN7" s="685"/>
      <c r="DO7" s="685"/>
      <c r="DP7" s="685"/>
      <c r="DQ7" s="685"/>
      <c r="DR7" s="685"/>
      <c r="DS7" s="685"/>
      <c r="DT7" s="685"/>
      <c r="DU7" s="685"/>
      <c r="DV7" s="685"/>
      <c r="DW7" s="685"/>
      <c r="DX7" s="685"/>
      <c r="DY7" s="685"/>
      <c r="DZ7" s="685"/>
      <c r="EA7" s="685"/>
      <c r="EB7" s="685"/>
      <c r="EC7" s="685"/>
      <c r="ED7" s="685"/>
      <c r="EE7" s="685"/>
      <c r="EF7" s="685"/>
      <c r="EG7" s="685"/>
      <c r="EH7" s="685"/>
      <c r="EI7" s="685"/>
      <c r="EJ7" s="685"/>
      <c r="EK7" s="685"/>
      <c r="EL7" s="685"/>
      <c r="EM7" s="685"/>
      <c r="EN7" s="685"/>
      <c r="EO7" s="685"/>
      <c r="EP7" s="685"/>
      <c r="EQ7" s="685"/>
      <c r="ER7" s="685"/>
      <c r="ES7" s="685"/>
      <c r="ET7" s="685"/>
      <c r="EU7" s="685"/>
      <c r="EV7" s="685"/>
      <c r="EW7" s="685"/>
      <c r="EX7" s="685"/>
      <c r="EY7" s="685"/>
      <c r="EZ7" s="685"/>
      <c r="FA7" s="685"/>
      <c r="FB7" s="685"/>
      <c r="FC7" s="688"/>
    </row>
    <row r="8" spans="1:161" ht="36" customHeight="1" x14ac:dyDescent="0.25">
      <c r="A8" s="689" t="s">
        <v>9</v>
      </c>
      <c r="B8" s="679"/>
      <c r="C8" s="679"/>
      <c r="D8" s="679"/>
      <c r="E8" s="679"/>
      <c r="F8" s="680"/>
      <c r="G8" s="691" t="s">
        <v>10</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676"/>
      <c r="AK8" s="676"/>
      <c r="AL8" s="676"/>
      <c r="AM8" s="676"/>
      <c r="AN8" s="676"/>
      <c r="AO8" s="676"/>
      <c r="AP8" s="676"/>
      <c r="AQ8" s="676"/>
      <c r="AR8" s="676"/>
      <c r="AS8" s="676"/>
      <c r="AT8" s="676"/>
      <c r="AU8" s="676"/>
      <c r="AV8" s="676"/>
      <c r="AW8" s="676"/>
      <c r="AX8" s="676"/>
      <c r="AY8" s="676"/>
      <c r="AZ8" s="676"/>
      <c r="BA8" s="676"/>
      <c r="BB8" s="676"/>
      <c r="BC8" s="676"/>
      <c r="BD8" s="676"/>
      <c r="BE8" s="676"/>
      <c r="BF8" s="676"/>
      <c r="BG8" s="676"/>
      <c r="BH8" s="676"/>
      <c r="BI8" s="676"/>
      <c r="BJ8" s="676"/>
      <c r="BK8" s="676"/>
      <c r="BL8" s="676"/>
      <c r="BM8" s="676"/>
      <c r="BN8" s="676"/>
      <c r="BO8" s="676"/>
      <c r="BP8" s="676"/>
      <c r="BQ8" s="676"/>
      <c r="BR8" s="676"/>
      <c r="BS8" s="676"/>
      <c r="BT8" s="676"/>
      <c r="BU8" s="676"/>
      <c r="BV8" s="676"/>
      <c r="BW8" s="676"/>
      <c r="BX8" s="676"/>
      <c r="BY8" s="676"/>
      <c r="BZ8" s="676"/>
      <c r="CA8" s="676"/>
      <c r="CB8" s="676"/>
      <c r="CC8" s="676"/>
      <c r="CD8" s="676"/>
      <c r="CE8" s="676"/>
      <c r="CF8" s="676"/>
      <c r="CG8" s="676"/>
      <c r="CH8" s="676"/>
      <c r="CI8" s="676"/>
      <c r="CJ8" s="676"/>
      <c r="CK8" s="676"/>
      <c r="CL8" s="676"/>
      <c r="CM8" s="676"/>
      <c r="CN8" s="676"/>
      <c r="CO8" s="676"/>
      <c r="CP8" s="676"/>
      <c r="CQ8" s="676"/>
      <c r="CR8" s="676"/>
      <c r="CS8" s="676"/>
      <c r="CT8" s="676"/>
      <c r="CU8" s="676"/>
      <c r="CV8" s="676"/>
      <c r="CW8" s="676"/>
      <c r="CX8" s="676"/>
      <c r="CY8" s="676"/>
      <c r="CZ8" s="676"/>
      <c r="DA8" s="676"/>
      <c r="DB8" s="676"/>
      <c r="DC8" s="676"/>
      <c r="DD8" s="676"/>
      <c r="DE8" s="676"/>
      <c r="DF8" s="676"/>
      <c r="DG8" s="676"/>
      <c r="DH8" s="676"/>
      <c r="DI8" s="676"/>
      <c r="DJ8" s="676"/>
      <c r="DK8" s="676"/>
      <c r="DL8" s="676"/>
      <c r="DM8" s="676"/>
      <c r="DN8" s="676"/>
      <c r="DO8" s="676"/>
      <c r="DP8" s="676"/>
      <c r="DQ8" s="676"/>
      <c r="DR8" s="676"/>
      <c r="DS8" s="676"/>
      <c r="DT8" s="676"/>
      <c r="DU8" s="676"/>
      <c r="DV8" s="676"/>
      <c r="DW8" s="676"/>
      <c r="DX8" s="676"/>
      <c r="DY8" s="676"/>
      <c r="DZ8" s="676"/>
      <c r="EA8" s="676"/>
      <c r="EB8" s="676"/>
      <c r="EC8" s="676"/>
      <c r="ED8" s="676"/>
      <c r="EE8" s="676"/>
      <c r="EF8" s="676"/>
      <c r="EG8" s="676"/>
      <c r="EH8" s="676"/>
      <c r="EI8" s="676"/>
      <c r="EJ8" s="676"/>
      <c r="EK8" s="676"/>
      <c r="EL8" s="676"/>
      <c r="EM8" s="676"/>
      <c r="EN8" s="676"/>
      <c r="EO8" s="676"/>
      <c r="EP8" s="676"/>
      <c r="EQ8" s="676"/>
      <c r="ER8" s="676"/>
      <c r="ES8" s="676"/>
      <c r="ET8" s="676"/>
      <c r="EU8" s="676"/>
      <c r="EV8" s="676"/>
      <c r="EW8" s="676"/>
      <c r="EX8" s="676"/>
      <c r="EY8" s="676"/>
      <c r="EZ8" s="676"/>
      <c r="FA8" s="676"/>
      <c r="FB8" s="676"/>
      <c r="FC8" s="677"/>
    </row>
    <row r="9" spans="1:161" ht="18" x14ac:dyDescent="0.25">
      <c r="A9" s="7"/>
      <c r="B9" s="8"/>
      <c r="C9" s="8"/>
      <c r="D9" s="8"/>
      <c r="E9" s="8"/>
      <c r="F9" s="8"/>
      <c r="G9" s="8"/>
      <c r="H9" s="8"/>
      <c r="I9" s="9"/>
      <c r="J9" s="8"/>
      <c r="K9" s="8"/>
      <c r="L9" s="8"/>
      <c r="M9" s="8"/>
      <c r="N9" s="8"/>
      <c r="O9" s="8"/>
      <c r="P9" s="8"/>
      <c r="Q9" s="8"/>
      <c r="R9" s="8"/>
      <c r="S9" s="8"/>
      <c r="T9" s="8"/>
      <c r="U9" s="9"/>
      <c r="V9" s="8"/>
      <c r="W9" s="8"/>
      <c r="X9" s="8"/>
      <c r="Y9" s="9"/>
      <c r="Z9" s="8"/>
      <c r="AA9" s="8"/>
      <c r="AB9" s="8"/>
      <c r="AC9" s="8"/>
      <c r="AD9" s="8"/>
      <c r="AE9" s="8"/>
      <c r="AF9" s="8"/>
      <c r="AG9" s="8"/>
      <c r="AH9" s="8"/>
      <c r="AI9" s="8"/>
      <c r="AJ9" s="8"/>
      <c r="AK9" s="8"/>
      <c r="AL9" s="8"/>
      <c r="AM9" s="8"/>
      <c r="AN9" s="8"/>
      <c r="AO9" s="8"/>
      <c r="AP9" s="8"/>
      <c r="AQ9" s="8"/>
      <c r="AR9" s="8"/>
      <c r="AS9" s="8"/>
      <c r="AT9" s="8"/>
      <c r="AU9" s="8"/>
      <c r="AV9" s="10"/>
      <c r="AW9" s="8"/>
      <c r="AX9" s="8"/>
      <c r="AY9" s="8"/>
      <c r="AZ9" s="8"/>
      <c r="BA9" s="8"/>
      <c r="BB9" s="11"/>
      <c r="BC9" s="8"/>
      <c r="BD9" s="8"/>
      <c r="BE9" s="8"/>
      <c r="BF9" s="8"/>
      <c r="BG9" s="8"/>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11"/>
      <c r="EZ9" s="11"/>
      <c r="FA9" s="11"/>
      <c r="FB9" s="8"/>
      <c r="FC9" s="8"/>
    </row>
    <row r="10" spans="1:161" ht="36" customHeight="1" x14ac:dyDescent="0.25">
      <c r="A10" s="692" t="s">
        <v>11</v>
      </c>
      <c r="B10" s="685"/>
      <c r="C10" s="685"/>
      <c r="D10" s="685"/>
      <c r="E10" s="685"/>
      <c r="F10" s="685"/>
      <c r="G10" s="685"/>
      <c r="H10" s="685"/>
      <c r="I10" s="688"/>
      <c r="J10" s="701" t="s">
        <v>12</v>
      </c>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5"/>
      <c r="AY10" s="685"/>
      <c r="AZ10" s="685"/>
      <c r="BA10" s="685"/>
      <c r="BB10" s="685"/>
      <c r="BC10" s="685"/>
      <c r="BD10" s="685"/>
      <c r="BE10" s="685"/>
      <c r="BF10" s="685"/>
      <c r="BG10" s="685"/>
      <c r="BH10" s="685"/>
      <c r="BI10" s="685"/>
      <c r="BJ10" s="685"/>
      <c r="BK10" s="685"/>
      <c r="BL10" s="685"/>
      <c r="BM10" s="685"/>
      <c r="BN10" s="685"/>
      <c r="BO10" s="685"/>
      <c r="BP10" s="685"/>
      <c r="BQ10" s="685"/>
      <c r="BR10" s="685"/>
      <c r="BS10" s="685"/>
      <c r="BT10" s="685"/>
      <c r="BU10" s="685"/>
      <c r="BV10" s="685"/>
      <c r="BW10" s="685"/>
      <c r="BX10" s="685"/>
      <c r="BY10" s="685"/>
      <c r="BZ10" s="685"/>
      <c r="CA10" s="685"/>
      <c r="CB10" s="685"/>
      <c r="CC10" s="685"/>
      <c r="CD10" s="685"/>
      <c r="CE10" s="685"/>
      <c r="CF10" s="685"/>
      <c r="CG10" s="685"/>
      <c r="CH10" s="685"/>
      <c r="CI10" s="685"/>
      <c r="CJ10" s="685"/>
      <c r="CK10" s="685"/>
      <c r="CL10" s="685"/>
      <c r="CM10" s="685"/>
      <c r="CN10" s="685"/>
      <c r="CO10" s="685"/>
      <c r="CP10" s="685"/>
      <c r="CQ10" s="685"/>
      <c r="CR10" s="685"/>
      <c r="CS10" s="685"/>
      <c r="CT10" s="685"/>
      <c r="CU10" s="685"/>
      <c r="CV10" s="685"/>
      <c r="CW10" s="685"/>
      <c r="CX10" s="685"/>
      <c r="CY10" s="685"/>
      <c r="CZ10" s="685"/>
      <c r="DA10" s="685"/>
      <c r="DB10" s="685"/>
      <c r="DC10" s="685"/>
      <c r="DD10" s="685"/>
      <c r="DE10" s="685"/>
      <c r="DF10" s="685"/>
      <c r="DG10" s="685"/>
      <c r="DH10" s="685"/>
      <c r="DI10" s="685"/>
      <c r="DJ10" s="685"/>
      <c r="DK10" s="685"/>
      <c r="DL10" s="685"/>
      <c r="DM10" s="685"/>
      <c r="DN10" s="685"/>
      <c r="DO10" s="685"/>
      <c r="DP10" s="685"/>
      <c r="DQ10" s="685"/>
      <c r="DR10" s="685"/>
      <c r="DS10" s="685"/>
      <c r="DT10" s="685"/>
      <c r="DU10" s="685"/>
      <c r="DV10" s="685"/>
      <c r="DW10" s="685"/>
      <c r="DX10" s="685"/>
      <c r="DY10" s="685"/>
      <c r="DZ10" s="685"/>
      <c r="EA10" s="685"/>
      <c r="EB10" s="685"/>
      <c r="EC10" s="685"/>
      <c r="ED10" s="685"/>
      <c r="EE10" s="685"/>
      <c r="EF10" s="685"/>
      <c r="EG10" s="685"/>
      <c r="EH10" s="685"/>
      <c r="EI10" s="685"/>
      <c r="EJ10" s="685"/>
      <c r="EK10" s="685"/>
      <c r="EL10" s="685"/>
      <c r="EM10" s="685"/>
      <c r="EN10" s="685"/>
      <c r="EO10" s="685"/>
      <c r="EP10" s="685"/>
      <c r="EQ10" s="685"/>
      <c r="ER10" s="685"/>
      <c r="ES10" s="688"/>
      <c r="ET10" s="702" t="s">
        <v>13</v>
      </c>
      <c r="EU10" s="702" t="s">
        <v>14</v>
      </c>
      <c r="EV10" s="705" t="s">
        <v>15</v>
      </c>
      <c r="EW10" s="706" t="s">
        <v>16</v>
      </c>
      <c r="EX10" s="705" t="s">
        <v>17</v>
      </c>
      <c r="EY10" s="707" t="s">
        <v>18</v>
      </c>
      <c r="EZ10" s="693" t="s">
        <v>19</v>
      </c>
      <c r="FA10" s="693" t="s">
        <v>20</v>
      </c>
      <c r="FB10" s="693" t="s">
        <v>21</v>
      </c>
      <c r="FC10" s="696" t="s">
        <v>22</v>
      </c>
      <c r="FD10" s="12"/>
      <c r="FE10" s="12"/>
    </row>
    <row r="11" spans="1:161" ht="24.75" customHeight="1" x14ac:dyDescent="0.25">
      <c r="A11" s="692" t="s">
        <v>23</v>
      </c>
      <c r="B11" s="685"/>
      <c r="C11" s="685"/>
      <c r="D11" s="685"/>
      <c r="E11" s="685"/>
      <c r="F11" s="685"/>
      <c r="G11" s="685"/>
      <c r="H11" s="685"/>
      <c r="I11" s="688"/>
      <c r="J11" s="699" t="s">
        <v>24</v>
      </c>
      <c r="K11" s="685"/>
      <c r="L11" s="685"/>
      <c r="M11" s="685"/>
      <c r="N11" s="685"/>
      <c r="O11" s="685"/>
      <c r="P11" s="685"/>
      <c r="Q11" s="685"/>
      <c r="R11" s="685"/>
      <c r="S11" s="685"/>
      <c r="T11" s="685"/>
      <c r="U11" s="685"/>
      <c r="V11" s="685"/>
      <c r="W11" s="685"/>
      <c r="X11" s="685"/>
      <c r="Y11" s="685"/>
      <c r="Z11" s="685"/>
      <c r="AA11" s="685"/>
      <c r="AB11" s="685"/>
      <c r="AC11" s="688"/>
      <c r="AD11" s="699" t="s">
        <v>25</v>
      </c>
      <c r="AE11" s="685"/>
      <c r="AF11" s="685"/>
      <c r="AG11" s="685"/>
      <c r="AH11" s="685"/>
      <c r="AI11" s="685"/>
      <c r="AJ11" s="685"/>
      <c r="AK11" s="685"/>
      <c r="AL11" s="685"/>
      <c r="AM11" s="685"/>
      <c r="AN11" s="685"/>
      <c r="AO11" s="685"/>
      <c r="AP11" s="685"/>
      <c r="AQ11" s="685"/>
      <c r="AR11" s="685"/>
      <c r="AS11" s="685"/>
      <c r="AT11" s="685"/>
      <c r="AU11" s="685"/>
      <c r="AV11" s="685"/>
      <c r="AW11" s="685"/>
      <c r="AX11" s="685"/>
      <c r="AY11" s="685"/>
      <c r="AZ11" s="685"/>
      <c r="BA11" s="685"/>
      <c r="BB11" s="685"/>
      <c r="BC11" s="685"/>
      <c r="BD11" s="685"/>
      <c r="BE11" s="685"/>
      <c r="BF11" s="685"/>
      <c r="BG11" s="688"/>
      <c r="BH11" s="699" t="s">
        <v>26</v>
      </c>
      <c r="BI11" s="685"/>
      <c r="BJ11" s="685"/>
      <c r="BK11" s="685"/>
      <c r="BL11" s="685"/>
      <c r="BM11" s="685"/>
      <c r="BN11" s="685"/>
      <c r="BO11" s="685"/>
      <c r="BP11" s="685"/>
      <c r="BQ11" s="685"/>
      <c r="BR11" s="685"/>
      <c r="BS11" s="685"/>
      <c r="BT11" s="685"/>
      <c r="BU11" s="685"/>
      <c r="BV11" s="685"/>
      <c r="BW11" s="685"/>
      <c r="BX11" s="685"/>
      <c r="BY11" s="685"/>
      <c r="BZ11" s="685"/>
      <c r="CA11" s="685"/>
      <c r="CB11" s="685"/>
      <c r="CC11" s="685"/>
      <c r="CD11" s="685"/>
      <c r="CE11" s="685"/>
      <c r="CF11" s="685"/>
      <c r="CG11" s="685"/>
      <c r="CH11" s="685"/>
      <c r="CI11" s="685"/>
      <c r="CJ11" s="685"/>
      <c r="CK11" s="688"/>
      <c r="CL11" s="700" t="s">
        <v>27</v>
      </c>
      <c r="CM11" s="685"/>
      <c r="CN11" s="685"/>
      <c r="CO11" s="685"/>
      <c r="CP11" s="685"/>
      <c r="CQ11" s="685"/>
      <c r="CR11" s="685"/>
      <c r="CS11" s="685"/>
      <c r="CT11" s="685"/>
      <c r="CU11" s="685"/>
      <c r="CV11" s="685"/>
      <c r="CW11" s="685"/>
      <c r="CX11" s="685"/>
      <c r="CY11" s="685"/>
      <c r="CZ11" s="685"/>
      <c r="DA11" s="685"/>
      <c r="DB11" s="685"/>
      <c r="DC11" s="685"/>
      <c r="DD11" s="685"/>
      <c r="DE11" s="685"/>
      <c r="DF11" s="685"/>
      <c r="DG11" s="685"/>
      <c r="DH11" s="685"/>
      <c r="DI11" s="685"/>
      <c r="DJ11" s="685"/>
      <c r="DK11" s="685"/>
      <c r="DL11" s="685"/>
      <c r="DM11" s="685"/>
      <c r="DN11" s="685"/>
      <c r="DO11" s="686"/>
      <c r="DP11" s="699" t="s">
        <v>28</v>
      </c>
      <c r="DQ11" s="685"/>
      <c r="DR11" s="685"/>
      <c r="DS11" s="685"/>
      <c r="DT11" s="685"/>
      <c r="DU11" s="685"/>
      <c r="DV11" s="685"/>
      <c r="DW11" s="685"/>
      <c r="DX11" s="685"/>
      <c r="DY11" s="685"/>
      <c r="DZ11" s="685"/>
      <c r="EA11" s="685"/>
      <c r="EB11" s="685"/>
      <c r="EC11" s="685"/>
      <c r="ED11" s="685"/>
      <c r="EE11" s="685"/>
      <c r="EF11" s="685"/>
      <c r="EG11" s="685"/>
      <c r="EH11" s="685"/>
      <c r="EI11" s="685"/>
      <c r="EJ11" s="685"/>
      <c r="EK11" s="685"/>
      <c r="EL11" s="685"/>
      <c r="EM11" s="685"/>
      <c r="EN11" s="685"/>
      <c r="EO11" s="685"/>
      <c r="EP11" s="685"/>
      <c r="EQ11" s="685"/>
      <c r="ER11" s="685"/>
      <c r="ES11" s="686"/>
      <c r="ET11" s="703"/>
      <c r="EU11" s="703"/>
      <c r="EV11" s="703"/>
      <c r="EW11" s="703"/>
      <c r="EX11" s="703"/>
      <c r="EY11" s="708"/>
      <c r="EZ11" s="694"/>
      <c r="FA11" s="694"/>
      <c r="FB11" s="694"/>
      <c r="FC11" s="697"/>
      <c r="FD11" s="12"/>
      <c r="FE11" s="12"/>
    </row>
    <row r="12" spans="1:161" ht="112.5" customHeight="1" x14ac:dyDescent="0.25">
      <c r="A12" s="13" t="s">
        <v>29</v>
      </c>
      <c r="B12" s="13" t="s">
        <v>30</v>
      </c>
      <c r="C12" s="14" t="s">
        <v>31</v>
      </c>
      <c r="D12" s="14" t="s">
        <v>32</v>
      </c>
      <c r="E12" s="14" t="s">
        <v>33</v>
      </c>
      <c r="F12" s="14" t="s">
        <v>34</v>
      </c>
      <c r="G12" s="14" t="s">
        <v>35</v>
      </c>
      <c r="H12" s="14" t="s">
        <v>36</v>
      </c>
      <c r="I12" s="15" t="s">
        <v>37</v>
      </c>
      <c r="J12" s="16" t="s">
        <v>38</v>
      </c>
      <c r="K12" s="17" t="s">
        <v>39</v>
      </c>
      <c r="L12" s="18" t="s">
        <v>40</v>
      </c>
      <c r="M12" s="17" t="s">
        <v>41</v>
      </c>
      <c r="N12" s="18" t="s">
        <v>42</v>
      </c>
      <c r="O12" s="17" t="s">
        <v>43</v>
      </c>
      <c r="P12" s="18" t="s">
        <v>44</v>
      </c>
      <c r="Q12" s="17" t="s">
        <v>45</v>
      </c>
      <c r="R12" s="18" t="s">
        <v>46</v>
      </c>
      <c r="S12" s="17" t="s">
        <v>47</v>
      </c>
      <c r="T12" s="18" t="s">
        <v>48</v>
      </c>
      <c r="U12" s="17" t="s">
        <v>49</v>
      </c>
      <c r="V12" s="18" t="s">
        <v>50</v>
      </c>
      <c r="W12" s="17" t="s">
        <v>51</v>
      </c>
      <c r="X12" s="19" t="s">
        <v>52</v>
      </c>
      <c r="Y12" s="20" t="s">
        <v>53</v>
      </c>
      <c r="Z12" s="21" t="s">
        <v>54</v>
      </c>
      <c r="AA12" s="22" t="s">
        <v>55</v>
      </c>
      <c r="AB12" s="23" t="s">
        <v>56</v>
      </c>
      <c r="AC12" s="22" t="s">
        <v>57</v>
      </c>
      <c r="AD12" s="16" t="s">
        <v>58</v>
      </c>
      <c r="AE12" s="17" t="s">
        <v>59</v>
      </c>
      <c r="AF12" s="18" t="s">
        <v>60</v>
      </c>
      <c r="AG12" s="17" t="s">
        <v>61</v>
      </c>
      <c r="AH12" s="18" t="s">
        <v>62</v>
      </c>
      <c r="AI12" s="17" t="s">
        <v>63</v>
      </c>
      <c r="AJ12" s="18" t="s">
        <v>64</v>
      </c>
      <c r="AK12" s="17" t="s">
        <v>65</v>
      </c>
      <c r="AL12" s="18" t="s">
        <v>66</v>
      </c>
      <c r="AM12" s="17" t="s">
        <v>67</v>
      </c>
      <c r="AN12" s="18" t="s">
        <v>68</v>
      </c>
      <c r="AO12" s="17" t="s">
        <v>69</v>
      </c>
      <c r="AP12" s="18" t="s">
        <v>70</v>
      </c>
      <c r="AQ12" s="17" t="s">
        <v>71</v>
      </c>
      <c r="AR12" s="18" t="s">
        <v>72</v>
      </c>
      <c r="AS12" s="17" t="s">
        <v>73</v>
      </c>
      <c r="AT12" s="18" t="s">
        <v>74</v>
      </c>
      <c r="AU12" s="17" t="s">
        <v>75</v>
      </c>
      <c r="AV12" s="18" t="s">
        <v>76</v>
      </c>
      <c r="AW12" s="17" t="s">
        <v>77</v>
      </c>
      <c r="AX12" s="18" t="s">
        <v>78</v>
      </c>
      <c r="AY12" s="17" t="s">
        <v>79</v>
      </c>
      <c r="AZ12" s="18" t="s">
        <v>80</v>
      </c>
      <c r="BA12" s="17" t="s">
        <v>81</v>
      </c>
      <c r="BB12" s="19" t="s">
        <v>82</v>
      </c>
      <c r="BC12" s="20" t="s">
        <v>53</v>
      </c>
      <c r="BD12" s="24" t="s">
        <v>83</v>
      </c>
      <c r="BE12" s="22" t="s">
        <v>84</v>
      </c>
      <c r="BF12" s="23" t="s">
        <v>85</v>
      </c>
      <c r="BG12" s="22" t="s">
        <v>86</v>
      </c>
      <c r="BH12" s="16" t="s">
        <v>87</v>
      </c>
      <c r="BI12" s="17" t="s">
        <v>88</v>
      </c>
      <c r="BJ12" s="18" t="s">
        <v>89</v>
      </c>
      <c r="BK12" s="17" t="s">
        <v>90</v>
      </c>
      <c r="BL12" s="18" t="s">
        <v>91</v>
      </c>
      <c r="BM12" s="17" t="s">
        <v>92</v>
      </c>
      <c r="BN12" s="18" t="s">
        <v>93</v>
      </c>
      <c r="BO12" s="17" t="s">
        <v>94</v>
      </c>
      <c r="BP12" s="18" t="s">
        <v>95</v>
      </c>
      <c r="BQ12" s="17" t="s">
        <v>96</v>
      </c>
      <c r="BR12" s="18" t="s">
        <v>97</v>
      </c>
      <c r="BS12" s="17" t="s">
        <v>98</v>
      </c>
      <c r="BT12" s="18" t="s">
        <v>99</v>
      </c>
      <c r="BU12" s="17" t="s">
        <v>100</v>
      </c>
      <c r="BV12" s="18" t="s">
        <v>101</v>
      </c>
      <c r="BW12" s="17" t="s">
        <v>102</v>
      </c>
      <c r="BX12" s="18" t="s">
        <v>103</v>
      </c>
      <c r="BY12" s="17" t="s">
        <v>104</v>
      </c>
      <c r="BZ12" s="18" t="s">
        <v>105</v>
      </c>
      <c r="CA12" s="17" t="s">
        <v>106</v>
      </c>
      <c r="CB12" s="18" t="s">
        <v>107</v>
      </c>
      <c r="CC12" s="17" t="s">
        <v>108</v>
      </c>
      <c r="CD12" s="18" t="s">
        <v>109</v>
      </c>
      <c r="CE12" s="17" t="s">
        <v>110</v>
      </c>
      <c r="CF12" s="19" t="s">
        <v>111</v>
      </c>
      <c r="CG12" s="20" t="s">
        <v>53</v>
      </c>
      <c r="CH12" s="23" t="s">
        <v>112</v>
      </c>
      <c r="CI12" s="22" t="s">
        <v>113</v>
      </c>
      <c r="CJ12" s="23" t="s">
        <v>114</v>
      </c>
      <c r="CK12" s="22" t="s">
        <v>115</v>
      </c>
      <c r="CL12" s="25" t="s">
        <v>116</v>
      </c>
      <c r="CM12" s="17" t="s">
        <v>117</v>
      </c>
      <c r="CN12" s="18" t="s">
        <v>118</v>
      </c>
      <c r="CO12" s="17" t="s">
        <v>119</v>
      </c>
      <c r="CP12" s="18" t="s">
        <v>120</v>
      </c>
      <c r="CQ12" s="17" t="s">
        <v>121</v>
      </c>
      <c r="CR12" s="18" t="s">
        <v>122</v>
      </c>
      <c r="CS12" s="17" t="s">
        <v>123</v>
      </c>
      <c r="CT12" s="18" t="s">
        <v>124</v>
      </c>
      <c r="CU12" s="17" t="s">
        <v>125</v>
      </c>
      <c r="CV12" s="18" t="s">
        <v>126</v>
      </c>
      <c r="CW12" s="17" t="s">
        <v>127</v>
      </c>
      <c r="CX12" s="18" t="s">
        <v>128</v>
      </c>
      <c r="CY12" s="17" t="s">
        <v>129</v>
      </c>
      <c r="CZ12" s="18" t="s">
        <v>130</v>
      </c>
      <c r="DA12" s="17" t="s">
        <v>131</v>
      </c>
      <c r="DB12" s="18" t="s">
        <v>132</v>
      </c>
      <c r="DC12" s="17" t="s">
        <v>133</v>
      </c>
      <c r="DD12" s="18" t="s">
        <v>134</v>
      </c>
      <c r="DE12" s="17" t="s">
        <v>135</v>
      </c>
      <c r="DF12" s="18" t="s">
        <v>136</v>
      </c>
      <c r="DG12" s="17" t="s">
        <v>137</v>
      </c>
      <c r="DH12" s="18" t="s">
        <v>138</v>
      </c>
      <c r="DI12" s="17" t="s">
        <v>139</v>
      </c>
      <c r="DJ12" s="19" t="s">
        <v>140</v>
      </c>
      <c r="DK12" s="20" t="s">
        <v>53</v>
      </c>
      <c r="DL12" s="26" t="s">
        <v>141</v>
      </c>
      <c r="DM12" s="27" t="s">
        <v>142</v>
      </c>
      <c r="DN12" s="28" t="s">
        <v>143</v>
      </c>
      <c r="DO12" s="27" t="s">
        <v>144</v>
      </c>
      <c r="DP12" s="25" t="s">
        <v>145</v>
      </c>
      <c r="DQ12" s="17" t="s">
        <v>146</v>
      </c>
      <c r="DR12" s="18" t="s">
        <v>147</v>
      </c>
      <c r="DS12" s="17" t="s">
        <v>148</v>
      </c>
      <c r="DT12" s="18" t="s">
        <v>149</v>
      </c>
      <c r="DU12" s="17" t="s">
        <v>150</v>
      </c>
      <c r="DV12" s="18" t="s">
        <v>151</v>
      </c>
      <c r="DW12" s="17" t="s">
        <v>152</v>
      </c>
      <c r="DX12" s="18" t="s">
        <v>153</v>
      </c>
      <c r="DY12" s="17" t="s">
        <v>154</v>
      </c>
      <c r="DZ12" s="18" t="s">
        <v>155</v>
      </c>
      <c r="EA12" s="17" t="s">
        <v>156</v>
      </c>
      <c r="EB12" s="18" t="s">
        <v>157</v>
      </c>
      <c r="EC12" s="17" t="s">
        <v>158</v>
      </c>
      <c r="ED12" s="18" t="s">
        <v>159</v>
      </c>
      <c r="EE12" s="17" t="s">
        <v>160</v>
      </c>
      <c r="EF12" s="18" t="s">
        <v>161</v>
      </c>
      <c r="EG12" s="17" t="s">
        <v>162</v>
      </c>
      <c r="EH12" s="18" t="s">
        <v>163</v>
      </c>
      <c r="EI12" s="17" t="s">
        <v>164</v>
      </c>
      <c r="EJ12" s="18" t="s">
        <v>165</v>
      </c>
      <c r="EK12" s="17" t="s">
        <v>166</v>
      </c>
      <c r="EL12" s="18" t="s">
        <v>167</v>
      </c>
      <c r="EM12" s="17" t="s">
        <v>168</v>
      </c>
      <c r="EN12" s="19" t="s">
        <v>169</v>
      </c>
      <c r="EO12" s="20" t="s">
        <v>53</v>
      </c>
      <c r="EP12" s="26" t="s">
        <v>170</v>
      </c>
      <c r="EQ12" s="27" t="s">
        <v>171</v>
      </c>
      <c r="ER12" s="28" t="s">
        <v>172</v>
      </c>
      <c r="ES12" s="29" t="s">
        <v>173</v>
      </c>
      <c r="ET12" s="704"/>
      <c r="EU12" s="704"/>
      <c r="EV12" s="704"/>
      <c r="EW12" s="704"/>
      <c r="EX12" s="704"/>
      <c r="EY12" s="709"/>
      <c r="EZ12" s="695"/>
      <c r="FA12" s="695"/>
      <c r="FB12" s="695"/>
      <c r="FC12" s="698"/>
      <c r="FD12" s="12"/>
      <c r="FE12" s="12"/>
    </row>
    <row r="13" spans="1:161" ht="120.75" customHeight="1" x14ac:dyDescent="0.25">
      <c r="A13" s="715">
        <v>2</v>
      </c>
      <c r="B13" s="715">
        <v>27</v>
      </c>
      <c r="C13" s="514">
        <v>198</v>
      </c>
      <c r="D13" s="515" t="s">
        <v>174</v>
      </c>
      <c r="E13" s="514">
        <v>212</v>
      </c>
      <c r="F13" s="515" t="s">
        <v>175</v>
      </c>
      <c r="G13" s="514" t="s">
        <v>176</v>
      </c>
      <c r="H13" s="514" t="s">
        <v>177</v>
      </c>
      <c r="I13" s="516">
        <v>1</v>
      </c>
      <c r="J13" s="517">
        <f t="shared" ref="J13:J17" si="0">AB13</f>
        <v>0.15</v>
      </c>
      <c r="K13" s="518"/>
      <c r="L13" s="518"/>
      <c r="M13" s="518">
        <v>0.03</v>
      </c>
      <c r="N13" s="518">
        <v>0.03</v>
      </c>
      <c r="O13" s="518">
        <v>0.05</v>
      </c>
      <c r="P13" s="518">
        <v>0.05</v>
      </c>
      <c r="Q13" s="518">
        <v>0.08</v>
      </c>
      <c r="R13" s="518">
        <v>0.08</v>
      </c>
      <c r="S13" s="518">
        <v>0.1</v>
      </c>
      <c r="T13" s="518">
        <v>0.1</v>
      </c>
      <c r="U13" s="518">
        <v>0.13</v>
      </c>
      <c r="V13" s="518">
        <v>0.13</v>
      </c>
      <c r="W13" s="517">
        <v>0.15</v>
      </c>
      <c r="X13" s="519">
        <v>0.15</v>
      </c>
      <c r="Y13" s="519">
        <v>0.15</v>
      </c>
      <c r="Z13" s="520">
        <f t="shared" ref="Z13:Z17" si="1">+X13/Y13</f>
        <v>1</v>
      </c>
      <c r="AA13" s="519">
        <v>0.15</v>
      </c>
      <c r="AB13" s="519">
        <v>0.15</v>
      </c>
      <c r="AC13" s="521">
        <f t="shared" ref="AC13:AC17" si="2">X13</f>
        <v>0.15</v>
      </c>
      <c r="AD13" s="522">
        <v>0.25</v>
      </c>
      <c r="AE13" s="522">
        <v>0.02</v>
      </c>
      <c r="AF13" s="522">
        <v>0.02</v>
      </c>
      <c r="AG13" s="522">
        <v>0.02</v>
      </c>
      <c r="AH13" s="522">
        <v>0.02</v>
      </c>
      <c r="AI13" s="522">
        <v>0.02</v>
      </c>
      <c r="AJ13" s="522">
        <v>0.02</v>
      </c>
      <c r="AK13" s="522">
        <v>0.02</v>
      </c>
      <c r="AL13" s="522">
        <v>0.02</v>
      </c>
      <c r="AM13" s="523">
        <v>0.02</v>
      </c>
      <c r="AN13" s="523">
        <v>0.02</v>
      </c>
      <c r="AO13" s="524">
        <v>0.02</v>
      </c>
      <c r="AP13" s="524">
        <v>0.02</v>
      </c>
      <c r="AQ13" s="524">
        <v>0.02</v>
      </c>
      <c r="AR13" s="524">
        <v>0.02</v>
      </c>
      <c r="AS13" s="524">
        <v>0.02</v>
      </c>
      <c r="AT13" s="524">
        <v>0.02</v>
      </c>
      <c r="AU13" s="524">
        <v>0.02</v>
      </c>
      <c r="AV13" s="517">
        <v>0.02</v>
      </c>
      <c r="AW13" s="522">
        <v>0.02</v>
      </c>
      <c r="AX13" s="522">
        <v>0.02</v>
      </c>
      <c r="AY13" s="522">
        <v>0.03</v>
      </c>
      <c r="AZ13" s="522">
        <v>0.03</v>
      </c>
      <c r="BA13" s="522">
        <v>0.02</v>
      </c>
      <c r="BB13" s="522">
        <v>0.02</v>
      </c>
      <c r="BC13" s="521">
        <f t="shared" ref="BC13:BC17" si="3">BA13+AY13+AW13+AU13+AQ13+AS13+AO13+AM13+AK13+AI13+AG13+AE13</f>
        <v>0.24999999999999994</v>
      </c>
      <c r="BD13" s="521">
        <f t="shared" ref="BD13:BE13" si="4">AE13+AG13+AI13+AK13+AM13+AO13+AQ13+AS13+AU13+AW13+AY13+BA13</f>
        <v>0.24999999999999997</v>
      </c>
      <c r="BE13" s="521">
        <f t="shared" si="4"/>
        <v>0.24999999999999997</v>
      </c>
      <c r="BF13" s="521">
        <f t="shared" ref="BF13:BG13" si="5">AE13+AG13+AI13+AK13+AM13+AO13+AQ13+AS13+AU13+AW13+AY13+BA13</f>
        <v>0.24999999999999997</v>
      </c>
      <c r="BG13" s="521">
        <f t="shared" si="5"/>
        <v>0.24999999999999997</v>
      </c>
      <c r="BH13" s="525">
        <v>0.25</v>
      </c>
      <c r="BI13" s="521">
        <v>0.01</v>
      </c>
      <c r="BJ13" s="521">
        <v>0.01</v>
      </c>
      <c r="BK13" s="521">
        <v>0.02</v>
      </c>
      <c r="BL13" s="521">
        <v>0.02</v>
      </c>
      <c r="BM13" s="521">
        <v>0.02</v>
      </c>
      <c r="BN13" s="521">
        <v>0.02</v>
      </c>
      <c r="BO13" s="521">
        <v>0.02</v>
      </c>
      <c r="BP13" s="521">
        <v>0.02</v>
      </c>
      <c r="BQ13" s="521">
        <v>0.02</v>
      </c>
      <c r="BR13" s="521">
        <v>0.02</v>
      </c>
      <c r="BS13" s="521">
        <v>0.03</v>
      </c>
      <c r="BT13" s="521">
        <v>0.03</v>
      </c>
      <c r="BU13" s="521">
        <v>0.02</v>
      </c>
      <c r="BV13" s="521">
        <v>0.02</v>
      </c>
      <c r="BW13" s="521">
        <v>0.03</v>
      </c>
      <c r="BX13" s="521">
        <v>0.03</v>
      </c>
      <c r="BY13" s="521">
        <v>0.02</v>
      </c>
      <c r="BZ13" s="521">
        <v>0.02</v>
      </c>
      <c r="CA13" s="521">
        <v>0.03</v>
      </c>
      <c r="CB13" s="521">
        <v>0.03</v>
      </c>
      <c r="CC13" s="521">
        <v>0.02</v>
      </c>
      <c r="CD13" s="521">
        <v>0.02</v>
      </c>
      <c r="CE13" s="521">
        <v>0.01</v>
      </c>
      <c r="CF13" s="521">
        <v>0.01</v>
      </c>
      <c r="CG13" s="521">
        <f t="shared" ref="CG13:CG17" si="6">CE13+CC13+CA13+BY13+BU13+BW13+BS13+BQ13+BO13+BM13+BK13+BI13</f>
        <v>0.24999999999999997</v>
      </c>
      <c r="CH13" s="521">
        <f t="shared" ref="CH13:CI13" si="7">BI13+BK13+BM13+BO13+BQ13+BS13+BU13+BW13+BY13+CA13+CC13+CE13</f>
        <v>0.25</v>
      </c>
      <c r="CI13" s="521">
        <f t="shared" si="7"/>
        <v>0.25</v>
      </c>
      <c r="CJ13" s="521">
        <f t="shared" ref="CJ13:CK13" si="8">BI13+BK13+BM13+BO13+BQ13+BS13+BU13+BW13+BY13+CA13+CC13+CE13</f>
        <v>0.25</v>
      </c>
      <c r="CK13" s="521">
        <f t="shared" si="8"/>
        <v>0.25</v>
      </c>
      <c r="CL13" s="521">
        <v>0.25</v>
      </c>
      <c r="CM13" s="521">
        <v>0.01</v>
      </c>
      <c r="CN13" s="521">
        <v>0.01</v>
      </c>
      <c r="CO13" s="521">
        <v>0.02</v>
      </c>
      <c r="CP13" s="521">
        <v>0.02</v>
      </c>
      <c r="CQ13" s="521">
        <v>0.02</v>
      </c>
      <c r="CR13" s="521">
        <v>0.02</v>
      </c>
      <c r="CS13" s="521">
        <v>0.02</v>
      </c>
      <c r="CT13" s="521">
        <v>0.02</v>
      </c>
      <c r="CU13" s="521">
        <v>0.02</v>
      </c>
      <c r="CV13" s="521">
        <v>0.02</v>
      </c>
      <c r="CW13" s="521">
        <v>0.03</v>
      </c>
      <c r="CX13" s="521">
        <v>0.03</v>
      </c>
      <c r="CY13" s="521">
        <v>0.03</v>
      </c>
      <c r="CZ13" s="521">
        <v>0.03</v>
      </c>
      <c r="DA13" s="521">
        <v>0.03</v>
      </c>
      <c r="DB13" s="521">
        <v>0.03</v>
      </c>
      <c r="DC13" s="521">
        <v>0.02</v>
      </c>
      <c r="DD13" s="521">
        <v>0.02</v>
      </c>
      <c r="DE13" s="521">
        <v>0.02</v>
      </c>
      <c r="DF13" s="521">
        <v>0.02</v>
      </c>
      <c r="DG13" s="521">
        <v>0.02</v>
      </c>
      <c r="DH13" s="521">
        <v>0.02</v>
      </c>
      <c r="DI13" s="521">
        <v>0.01</v>
      </c>
      <c r="DJ13" s="521">
        <v>0.01</v>
      </c>
      <c r="DK13" s="521">
        <f t="shared" ref="DK13:DK17" si="9">DI13+DG13+DE13+DC13+CY13+DA13+CW13+CU13+CS13+CQ13+CO13+CM13</f>
        <v>0.24999999999999997</v>
      </c>
      <c r="DL13" s="521">
        <f t="shared" ref="DL13:DM13" si="10">CM13+CO13+CQ13+CS13+CU13+CW13+CY13+DA13+DC13+DE13+DG13+DI13</f>
        <v>0.25</v>
      </c>
      <c r="DM13" s="521">
        <f t="shared" si="10"/>
        <v>0.25</v>
      </c>
      <c r="DN13" s="521">
        <f t="shared" ref="DN13:DO13" si="11">CM13+CO13+CQ13+CS13+CU13+CW13+CY13+DA13+DC13+DE13+DG13+DI13</f>
        <v>0.25</v>
      </c>
      <c r="DO13" s="521">
        <f t="shared" si="11"/>
        <v>0.25</v>
      </c>
      <c r="DP13" s="521">
        <v>0.1</v>
      </c>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7">
        <f>DJ13/DI13</f>
        <v>1</v>
      </c>
      <c r="EU13" s="527">
        <f>DM13/DL13</f>
        <v>1</v>
      </c>
      <c r="EV13" s="528">
        <f>DO13/DN13</f>
        <v>1</v>
      </c>
      <c r="EW13" s="528">
        <f>(AC13+BG13+CK13+DM13)/(AB13+BF13+CJ13+DL13)</f>
        <v>1</v>
      </c>
      <c r="EX13" s="528">
        <f t="shared" ref="EX13:EX16" si="12">(AC13+BG13+CK13+DO13)/I13</f>
        <v>0.89999999999999991</v>
      </c>
      <c r="EY13" s="529" t="s">
        <v>1368</v>
      </c>
      <c r="EZ13" s="372" t="s">
        <v>178</v>
      </c>
      <c r="FA13" s="372" t="s">
        <v>178</v>
      </c>
      <c r="FB13" s="530" t="s">
        <v>179</v>
      </c>
      <c r="FC13" s="530" t="s">
        <v>180</v>
      </c>
      <c r="FD13" s="12"/>
      <c r="FE13" s="12"/>
    </row>
    <row r="14" spans="1:161" ht="120.75" customHeight="1" x14ac:dyDescent="0.25">
      <c r="A14" s="716"/>
      <c r="B14" s="716"/>
      <c r="C14" s="514">
        <v>199</v>
      </c>
      <c r="D14" s="515" t="s">
        <v>181</v>
      </c>
      <c r="E14" s="514">
        <v>213</v>
      </c>
      <c r="F14" s="515" t="s">
        <v>182</v>
      </c>
      <c r="G14" s="514" t="s">
        <v>176</v>
      </c>
      <c r="H14" s="514" t="s">
        <v>177</v>
      </c>
      <c r="I14" s="516">
        <v>1</v>
      </c>
      <c r="J14" s="517">
        <f t="shared" si="0"/>
        <v>0.05</v>
      </c>
      <c r="K14" s="518"/>
      <c r="L14" s="518"/>
      <c r="M14" s="518">
        <v>0</v>
      </c>
      <c r="N14" s="518">
        <v>0</v>
      </c>
      <c r="O14" s="518">
        <v>0.01</v>
      </c>
      <c r="P14" s="518">
        <v>0.01</v>
      </c>
      <c r="Q14" s="518">
        <v>0.02</v>
      </c>
      <c r="R14" s="518">
        <v>0.02</v>
      </c>
      <c r="S14" s="518">
        <v>0.03</v>
      </c>
      <c r="T14" s="518">
        <v>0.03</v>
      </c>
      <c r="U14" s="518">
        <v>0.04</v>
      </c>
      <c r="V14" s="518">
        <v>0.04</v>
      </c>
      <c r="W14" s="517">
        <v>0.05</v>
      </c>
      <c r="X14" s="519">
        <v>0.05</v>
      </c>
      <c r="Y14" s="519">
        <v>0.05</v>
      </c>
      <c r="Z14" s="520">
        <f t="shared" si="1"/>
        <v>1</v>
      </c>
      <c r="AA14" s="519">
        <v>0.05</v>
      </c>
      <c r="AB14" s="519">
        <v>0.05</v>
      </c>
      <c r="AC14" s="521">
        <f t="shared" si="2"/>
        <v>0.05</v>
      </c>
      <c r="AD14" s="522">
        <v>0.3</v>
      </c>
      <c r="AE14" s="522">
        <v>0.01</v>
      </c>
      <c r="AF14" s="522">
        <v>0.01</v>
      </c>
      <c r="AG14" s="522">
        <v>0.06</v>
      </c>
      <c r="AH14" s="522">
        <v>0.06</v>
      </c>
      <c r="AI14" s="522">
        <v>0.01</v>
      </c>
      <c r="AJ14" s="522">
        <v>0.01</v>
      </c>
      <c r="AK14" s="522">
        <v>0.01</v>
      </c>
      <c r="AL14" s="522">
        <v>0.01</v>
      </c>
      <c r="AM14" s="522">
        <v>0.01</v>
      </c>
      <c r="AN14" s="522">
        <v>0.01</v>
      </c>
      <c r="AO14" s="524">
        <v>0.01</v>
      </c>
      <c r="AP14" s="524">
        <v>0.01</v>
      </c>
      <c r="AQ14" s="524">
        <v>0.1</v>
      </c>
      <c r="AR14" s="524">
        <v>0.1</v>
      </c>
      <c r="AS14" s="524">
        <v>0.01</v>
      </c>
      <c r="AT14" s="524">
        <v>0.01</v>
      </c>
      <c r="AU14" s="524">
        <v>0.01</v>
      </c>
      <c r="AV14" s="531">
        <v>0.01</v>
      </c>
      <c r="AW14" s="532">
        <v>0.05</v>
      </c>
      <c r="AX14" s="532">
        <v>0.05</v>
      </c>
      <c r="AY14" s="532">
        <v>0.01</v>
      </c>
      <c r="AZ14" s="532">
        <v>0.01</v>
      </c>
      <c r="BA14" s="532">
        <v>0.01</v>
      </c>
      <c r="BB14" s="532">
        <v>0.01</v>
      </c>
      <c r="BC14" s="521">
        <f t="shared" si="3"/>
        <v>0.30000000000000004</v>
      </c>
      <c r="BD14" s="521">
        <f t="shared" ref="BD14:BE14" si="13">AE14+AG14+AI14+AK14+AM14+AO14+AQ14+AS14+AU14+AW14+AY14+BA14</f>
        <v>0.3</v>
      </c>
      <c r="BE14" s="521">
        <f t="shared" si="13"/>
        <v>0.3</v>
      </c>
      <c r="BF14" s="521">
        <f t="shared" ref="BF14:BG14" si="14">AE14+AG14+AI14+AK14+AM14+AO14+AQ14+AS14+AU14+AW14+AY14+BA14</f>
        <v>0.3</v>
      </c>
      <c r="BG14" s="521">
        <f t="shared" si="14"/>
        <v>0.3</v>
      </c>
      <c r="BH14" s="525">
        <v>0.3</v>
      </c>
      <c r="BI14" s="521">
        <v>0.01</v>
      </c>
      <c r="BJ14" s="521">
        <v>0.01</v>
      </c>
      <c r="BK14" s="521">
        <v>0.01</v>
      </c>
      <c r="BL14" s="521">
        <v>0.01</v>
      </c>
      <c r="BM14" s="521">
        <v>0.01</v>
      </c>
      <c r="BN14" s="521">
        <v>0.01</v>
      </c>
      <c r="BO14" s="521">
        <v>0.01</v>
      </c>
      <c r="BP14" s="521">
        <v>0.01</v>
      </c>
      <c r="BQ14" s="521">
        <v>0.02</v>
      </c>
      <c r="BR14" s="521">
        <v>0.02</v>
      </c>
      <c r="BS14" s="521">
        <v>0.02</v>
      </c>
      <c r="BT14" s="521">
        <v>0.02</v>
      </c>
      <c r="BU14" s="521">
        <v>0.03</v>
      </c>
      <c r="BV14" s="521">
        <v>0.03</v>
      </c>
      <c r="BW14" s="521">
        <v>0.1</v>
      </c>
      <c r="BX14" s="521">
        <v>0.1</v>
      </c>
      <c r="BY14" s="521">
        <v>0.01</v>
      </c>
      <c r="BZ14" s="521">
        <v>0.01</v>
      </c>
      <c r="CA14" s="521">
        <v>0.05</v>
      </c>
      <c r="CB14" s="521">
        <v>0.05</v>
      </c>
      <c r="CC14" s="521">
        <v>0.02</v>
      </c>
      <c r="CD14" s="521">
        <v>0.02</v>
      </c>
      <c r="CE14" s="521">
        <v>0.01</v>
      </c>
      <c r="CF14" s="521">
        <v>0.01</v>
      </c>
      <c r="CG14" s="521">
        <f t="shared" si="6"/>
        <v>0.30000000000000004</v>
      </c>
      <c r="CH14" s="521">
        <f t="shared" ref="CH14:CI14" si="15">BI14+BK14+BM14+BO14+BQ14+BS14+BU14+BW14+BY14+CA14+CC14+CE14</f>
        <v>0.30000000000000004</v>
      </c>
      <c r="CI14" s="521">
        <f t="shared" si="15"/>
        <v>0.30000000000000004</v>
      </c>
      <c r="CJ14" s="521">
        <f t="shared" ref="CJ14:CK14" si="16">BI14+BK14+BM14+BO14+BQ14+BS14+BU14+BW14+BY14+CA14+CC14+CE14</f>
        <v>0.30000000000000004</v>
      </c>
      <c r="CK14" s="521">
        <f t="shared" si="16"/>
        <v>0.30000000000000004</v>
      </c>
      <c r="CL14" s="521">
        <v>0.3</v>
      </c>
      <c r="CM14" s="521">
        <v>0.02</v>
      </c>
      <c r="CN14" s="521">
        <v>0.02</v>
      </c>
      <c r="CO14" s="521">
        <v>0.02</v>
      </c>
      <c r="CP14" s="521">
        <v>0.02</v>
      </c>
      <c r="CQ14" s="521">
        <v>0.03</v>
      </c>
      <c r="CR14" s="521">
        <v>0.03</v>
      </c>
      <c r="CS14" s="521">
        <v>0.04</v>
      </c>
      <c r="CT14" s="521">
        <v>0.04</v>
      </c>
      <c r="CU14" s="521">
        <v>0.03</v>
      </c>
      <c r="CV14" s="521">
        <v>0.04</v>
      </c>
      <c r="CW14" s="521">
        <v>0.03</v>
      </c>
      <c r="CX14" s="521">
        <v>0.03</v>
      </c>
      <c r="CY14" s="521">
        <v>0.02</v>
      </c>
      <c r="CZ14" s="521">
        <v>0.02</v>
      </c>
      <c r="DA14" s="521">
        <v>0.04</v>
      </c>
      <c r="DB14" s="521">
        <v>0.04</v>
      </c>
      <c r="DC14" s="521">
        <v>0.03</v>
      </c>
      <c r="DD14" s="521">
        <v>0.03</v>
      </c>
      <c r="DE14" s="521">
        <v>0.02</v>
      </c>
      <c r="DF14" s="521">
        <v>0.02</v>
      </c>
      <c r="DG14" s="521">
        <v>0.01</v>
      </c>
      <c r="DH14" s="533">
        <v>5.0000000000000001E-3</v>
      </c>
      <c r="DI14" s="521">
        <v>0.01</v>
      </c>
      <c r="DJ14" s="533">
        <v>5.0000000000000001E-3</v>
      </c>
      <c r="DK14" s="521">
        <f t="shared" si="9"/>
        <v>0.30000000000000004</v>
      </c>
      <c r="DL14" s="521">
        <f t="shared" ref="DL14:DM14" si="17">CM14+CO14+CQ14+CS14+CU14+CW14+CY14+DA14+DC14+DE14+DG14+DI14</f>
        <v>0.30000000000000004</v>
      </c>
      <c r="DM14" s="521">
        <f t="shared" si="17"/>
        <v>0.30000000000000004</v>
      </c>
      <c r="DN14" s="521">
        <f t="shared" ref="DN14:DO14" si="18">CM14+CO14+CQ14+CS14+CU14+CW14+CY14+DA14+DC14+DE14+DG14+DI14</f>
        <v>0.30000000000000004</v>
      </c>
      <c r="DO14" s="521">
        <f t="shared" si="18"/>
        <v>0.30000000000000004</v>
      </c>
      <c r="DP14" s="521">
        <v>0.05</v>
      </c>
      <c r="DQ14" s="526"/>
      <c r="DR14" s="526"/>
      <c r="DS14" s="526"/>
      <c r="DT14" s="526"/>
      <c r="DU14" s="526"/>
      <c r="DV14" s="526"/>
      <c r="DW14" s="526"/>
      <c r="DX14" s="526"/>
      <c r="DY14" s="526"/>
      <c r="DZ14" s="526"/>
      <c r="EA14" s="526"/>
      <c r="EB14" s="526"/>
      <c r="EC14" s="526"/>
      <c r="ED14" s="526"/>
      <c r="EE14" s="526"/>
      <c r="EF14" s="526"/>
      <c r="EG14" s="526"/>
      <c r="EH14" s="526"/>
      <c r="EI14" s="526"/>
      <c r="EJ14" s="526"/>
      <c r="EK14" s="526"/>
      <c r="EL14" s="526"/>
      <c r="EM14" s="526"/>
      <c r="EN14" s="526"/>
      <c r="EO14" s="526"/>
      <c r="EP14" s="526"/>
      <c r="EQ14" s="526"/>
      <c r="ER14" s="526"/>
      <c r="ES14" s="526"/>
      <c r="ET14" s="527">
        <f t="shared" ref="ET14:ET17" si="19">DJ14/DI14</f>
        <v>0.5</v>
      </c>
      <c r="EU14" s="527">
        <f>DM14/DL14</f>
        <v>1</v>
      </c>
      <c r="EV14" s="528">
        <f t="shared" ref="EV14:EV17" si="20">DO14/DN14</f>
        <v>1</v>
      </c>
      <c r="EW14" s="528">
        <f t="shared" ref="EW14:EW16" si="21">(AC14+BG14+CK14+DM14)/(AB14+BF14+CJ14+DL14)</f>
        <v>1</v>
      </c>
      <c r="EX14" s="528">
        <f t="shared" si="12"/>
        <v>0.95000000000000007</v>
      </c>
      <c r="EY14" s="534" t="s">
        <v>1370</v>
      </c>
      <c r="EZ14" s="372" t="s">
        <v>178</v>
      </c>
      <c r="FA14" s="372" t="s">
        <v>178</v>
      </c>
      <c r="FB14" s="535" t="s">
        <v>183</v>
      </c>
      <c r="FC14" s="535" t="s">
        <v>184</v>
      </c>
      <c r="FD14" s="12"/>
      <c r="FE14" s="12"/>
    </row>
    <row r="15" spans="1:161" ht="120.75" customHeight="1" x14ac:dyDescent="0.25">
      <c r="A15" s="716"/>
      <c r="B15" s="716"/>
      <c r="C15" s="718">
        <v>200</v>
      </c>
      <c r="D15" s="715" t="s">
        <v>185</v>
      </c>
      <c r="E15" s="514">
        <v>214</v>
      </c>
      <c r="F15" s="515" t="s">
        <v>186</v>
      </c>
      <c r="G15" s="514" t="s">
        <v>187</v>
      </c>
      <c r="H15" s="514" t="s">
        <v>177</v>
      </c>
      <c r="I15" s="516">
        <v>600</v>
      </c>
      <c r="J15" s="517">
        <f t="shared" si="0"/>
        <v>66</v>
      </c>
      <c r="K15" s="536"/>
      <c r="L15" s="536"/>
      <c r="M15" s="536">
        <v>11</v>
      </c>
      <c r="N15" s="536">
        <v>11</v>
      </c>
      <c r="O15" s="536">
        <v>22</v>
      </c>
      <c r="P15" s="536">
        <v>22</v>
      </c>
      <c r="Q15" s="536">
        <v>33</v>
      </c>
      <c r="R15" s="536">
        <v>33</v>
      </c>
      <c r="S15" s="536">
        <v>44</v>
      </c>
      <c r="T15" s="536">
        <v>44</v>
      </c>
      <c r="U15" s="536">
        <v>55</v>
      </c>
      <c r="V15" s="536">
        <v>55</v>
      </c>
      <c r="W15" s="517">
        <v>66</v>
      </c>
      <c r="X15" s="519">
        <v>66</v>
      </c>
      <c r="Y15" s="519">
        <v>66</v>
      </c>
      <c r="Z15" s="520">
        <f t="shared" si="1"/>
        <v>1</v>
      </c>
      <c r="AA15" s="519">
        <v>66</v>
      </c>
      <c r="AB15" s="519">
        <v>66</v>
      </c>
      <c r="AC15" s="521">
        <f t="shared" si="2"/>
        <v>66</v>
      </c>
      <c r="AD15" s="537">
        <v>109</v>
      </c>
      <c r="AE15" s="537">
        <v>5</v>
      </c>
      <c r="AF15" s="537">
        <v>5</v>
      </c>
      <c r="AG15" s="537">
        <v>8</v>
      </c>
      <c r="AH15" s="537">
        <v>8</v>
      </c>
      <c r="AI15" s="537">
        <v>10</v>
      </c>
      <c r="AJ15" s="537">
        <v>10</v>
      </c>
      <c r="AK15" s="537">
        <v>10</v>
      </c>
      <c r="AL15" s="537">
        <v>10</v>
      </c>
      <c r="AM15" s="537">
        <v>10</v>
      </c>
      <c r="AN15" s="538">
        <v>10</v>
      </c>
      <c r="AO15" s="538">
        <v>10</v>
      </c>
      <c r="AP15" s="538">
        <v>10</v>
      </c>
      <c r="AQ15" s="538">
        <v>10</v>
      </c>
      <c r="AR15" s="538">
        <v>10</v>
      </c>
      <c r="AS15" s="538">
        <v>10</v>
      </c>
      <c r="AT15" s="539">
        <v>10</v>
      </c>
      <c r="AU15" s="538">
        <v>10</v>
      </c>
      <c r="AV15" s="517">
        <v>10</v>
      </c>
      <c r="AW15" s="522">
        <v>10</v>
      </c>
      <c r="AX15" s="522">
        <v>10</v>
      </c>
      <c r="AY15" s="522">
        <v>10</v>
      </c>
      <c r="AZ15" s="522">
        <v>10</v>
      </c>
      <c r="BA15" s="522">
        <v>10</v>
      </c>
      <c r="BB15" s="522">
        <v>10</v>
      </c>
      <c r="BC15" s="540">
        <f t="shared" si="3"/>
        <v>113</v>
      </c>
      <c r="BD15" s="521">
        <f t="shared" ref="BD15:BE15" si="22">AE15+AG15+AI15+AK15+AM15+AO15+AQ15+AS15+AU15+AW15+AY15+BA15</f>
        <v>113</v>
      </c>
      <c r="BE15" s="521">
        <f t="shared" si="22"/>
        <v>113</v>
      </c>
      <c r="BF15" s="521">
        <f t="shared" ref="BF15:BG15" si="23">AE15+AG15+AI15+AK15+AM15+AO15+AQ15+AS15+AU15+AW15+AY15+BA15</f>
        <v>113</v>
      </c>
      <c r="BG15" s="521">
        <f t="shared" si="23"/>
        <v>113</v>
      </c>
      <c r="BH15" s="541">
        <v>150</v>
      </c>
      <c r="BI15" s="526">
        <v>0</v>
      </c>
      <c r="BJ15" s="526">
        <v>0</v>
      </c>
      <c r="BK15" s="526">
        <v>14</v>
      </c>
      <c r="BL15" s="526">
        <v>14</v>
      </c>
      <c r="BM15" s="526">
        <v>14</v>
      </c>
      <c r="BN15" s="526">
        <v>14</v>
      </c>
      <c r="BO15" s="526">
        <v>14</v>
      </c>
      <c r="BP15" s="526">
        <v>14</v>
      </c>
      <c r="BQ15" s="526">
        <v>14</v>
      </c>
      <c r="BR15" s="526">
        <v>14</v>
      </c>
      <c r="BS15" s="526">
        <v>14</v>
      </c>
      <c r="BT15" s="526">
        <v>14</v>
      </c>
      <c r="BU15" s="526">
        <v>14</v>
      </c>
      <c r="BV15" s="526">
        <v>14</v>
      </c>
      <c r="BW15" s="526">
        <v>14</v>
      </c>
      <c r="BX15" s="526">
        <v>14</v>
      </c>
      <c r="BY15" s="526">
        <v>14</v>
      </c>
      <c r="BZ15" s="526">
        <v>14</v>
      </c>
      <c r="CA15" s="526">
        <v>14</v>
      </c>
      <c r="CB15" s="526">
        <v>14</v>
      </c>
      <c r="CC15" s="526">
        <v>14</v>
      </c>
      <c r="CD15" s="526">
        <v>14</v>
      </c>
      <c r="CE15" s="526">
        <v>10</v>
      </c>
      <c r="CF15" s="526">
        <v>10</v>
      </c>
      <c r="CG15" s="540">
        <f t="shared" si="6"/>
        <v>150</v>
      </c>
      <c r="CH15" s="521">
        <f t="shared" ref="CH15:CI15" si="24">BI15+BK15+BM15+BO15+BQ15+BS15+BU15+BW15+BY15+CA15+CC15+CE15</f>
        <v>150</v>
      </c>
      <c r="CI15" s="521">
        <f t="shared" si="24"/>
        <v>150</v>
      </c>
      <c r="CJ15" s="521">
        <f t="shared" ref="CJ15:CK15" si="25">BI15+BK15+BM15+BO15+BQ15+BS15+BU15+BW15+BY15+CA15+CC15+CE15</f>
        <v>150</v>
      </c>
      <c r="CK15" s="521">
        <f t="shared" si="25"/>
        <v>150</v>
      </c>
      <c r="CL15" s="526">
        <v>190</v>
      </c>
      <c r="CM15" s="526">
        <v>5</v>
      </c>
      <c r="CN15" s="526">
        <v>5</v>
      </c>
      <c r="CO15" s="526">
        <v>17</v>
      </c>
      <c r="CP15" s="526">
        <v>17</v>
      </c>
      <c r="CQ15" s="526">
        <v>18</v>
      </c>
      <c r="CR15" s="526">
        <v>18</v>
      </c>
      <c r="CS15" s="526">
        <v>17</v>
      </c>
      <c r="CT15" s="526">
        <v>17</v>
      </c>
      <c r="CU15" s="526">
        <v>18</v>
      </c>
      <c r="CV15" s="526">
        <v>18</v>
      </c>
      <c r="CW15" s="526">
        <v>17</v>
      </c>
      <c r="CX15" s="526">
        <v>18</v>
      </c>
      <c r="CY15" s="526">
        <v>18</v>
      </c>
      <c r="CZ15" s="526">
        <v>18</v>
      </c>
      <c r="DA15" s="526">
        <v>17</v>
      </c>
      <c r="DB15" s="526">
        <v>18</v>
      </c>
      <c r="DC15" s="526">
        <v>18</v>
      </c>
      <c r="DD15" s="526">
        <v>18</v>
      </c>
      <c r="DE15" s="526">
        <v>17</v>
      </c>
      <c r="DF15" s="526">
        <v>18</v>
      </c>
      <c r="DG15" s="526">
        <v>18</v>
      </c>
      <c r="DH15" s="526">
        <v>10</v>
      </c>
      <c r="DI15" s="526">
        <v>10</v>
      </c>
      <c r="DJ15" s="526">
        <v>10</v>
      </c>
      <c r="DK15" s="521">
        <f t="shared" si="9"/>
        <v>190</v>
      </c>
      <c r="DL15" s="521">
        <f t="shared" ref="DL15:DM15" si="26">CM15+CO15+CQ15+CS15+CU15+CW15+CY15+DA15+DC15+DE15+DG15+DI15</f>
        <v>190</v>
      </c>
      <c r="DM15" s="521">
        <f t="shared" si="26"/>
        <v>185</v>
      </c>
      <c r="DN15" s="521">
        <f t="shared" ref="DN15:DO15" si="27">CM15+CO15+CQ15+CS15+CU15+CW15+CY15+DA15+DC15+DE15+DG15+DI15</f>
        <v>190</v>
      </c>
      <c r="DO15" s="521">
        <f t="shared" si="27"/>
        <v>185</v>
      </c>
      <c r="DP15" s="521">
        <v>81</v>
      </c>
      <c r="DQ15" s="521"/>
      <c r="DR15" s="521"/>
      <c r="DS15" s="521"/>
      <c r="DT15" s="521"/>
      <c r="DU15" s="521"/>
      <c r="DV15" s="521"/>
      <c r="DW15" s="521"/>
      <c r="DX15" s="521"/>
      <c r="DY15" s="521"/>
      <c r="DZ15" s="521"/>
      <c r="EA15" s="521"/>
      <c r="EB15" s="521"/>
      <c r="EC15" s="521"/>
      <c r="ED15" s="521"/>
      <c r="EE15" s="521"/>
      <c r="EF15" s="521"/>
      <c r="EG15" s="521"/>
      <c r="EH15" s="521"/>
      <c r="EI15" s="526"/>
      <c r="EJ15" s="526"/>
      <c r="EK15" s="526"/>
      <c r="EL15" s="526"/>
      <c r="EM15" s="526"/>
      <c r="EN15" s="526"/>
      <c r="EO15" s="526"/>
      <c r="EP15" s="526"/>
      <c r="EQ15" s="526"/>
      <c r="ER15" s="526"/>
      <c r="ES15" s="526"/>
      <c r="ET15" s="527">
        <f t="shared" si="19"/>
        <v>1</v>
      </c>
      <c r="EU15" s="527">
        <f t="shared" ref="EU15:EU16" si="28">DM15/DL15</f>
        <v>0.97368421052631582</v>
      </c>
      <c r="EV15" s="528">
        <f t="shared" si="20"/>
        <v>0.97368421052631582</v>
      </c>
      <c r="EW15" s="528">
        <f t="shared" si="21"/>
        <v>0.99036608863198461</v>
      </c>
      <c r="EX15" s="528">
        <f t="shared" si="12"/>
        <v>0.85666666666666669</v>
      </c>
      <c r="EY15" s="534" t="s">
        <v>188</v>
      </c>
      <c r="EZ15" s="372" t="s">
        <v>1349</v>
      </c>
      <c r="FA15" s="372" t="s">
        <v>1346</v>
      </c>
      <c r="FB15" s="535" t="s">
        <v>189</v>
      </c>
      <c r="FC15" s="535" t="s">
        <v>190</v>
      </c>
      <c r="FD15" s="12"/>
      <c r="FE15" s="12"/>
    </row>
    <row r="16" spans="1:161" ht="120.75" customHeight="1" x14ac:dyDescent="0.25">
      <c r="A16" s="716"/>
      <c r="B16" s="716"/>
      <c r="C16" s="717"/>
      <c r="D16" s="717"/>
      <c r="E16" s="514">
        <v>215</v>
      </c>
      <c r="F16" s="515" t="s">
        <v>191</v>
      </c>
      <c r="G16" s="514" t="s">
        <v>187</v>
      </c>
      <c r="H16" s="514" t="s">
        <v>177</v>
      </c>
      <c r="I16" s="516">
        <v>400</v>
      </c>
      <c r="J16" s="517">
        <f t="shared" si="0"/>
        <v>20</v>
      </c>
      <c r="K16" s="536"/>
      <c r="L16" s="536"/>
      <c r="M16" s="536">
        <v>0</v>
      </c>
      <c r="N16" s="536">
        <v>0</v>
      </c>
      <c r="O16" s="536">
        <v>0</v>
      </c>
      <c r="P16" s="536">
        <v>0</v>
      </c>
      <c r="Q16" s="536">
        <v>2</v>
      </c>
      <c r="R16" s="536">
        <v>2</v>
      </c>
      <c r="S16" s="536">
        <v>6</v>
      </c>
      <c r="T16" s="536">
        <v>6</v>
      </c>
      <c r="U16" s="536">
        <v>12</v>
      </c>
      <c r="V16" s="536">
        <v>12</v>
      </c>
      <c r="W16" s="542">
        <v>20</v>
      </c>
      <c r="X16" s="543">
        <v>20</v>
      </c>
      <c r="Y16" s="543">
        <v>20</v>
      </c>
      <c r="Z16" s="520">
        <f t="shared" si="1"/>
        <v>1</v>
      </c>
      <c r="AA16" s="543">
        <v>20</v>
      </c>
      <c r="AB16" s="543">
        <v>20</v>
      </c>
      <c r="AC16" s="521">
        <f t="shared" si="2"/>
        <v>20</v>
      </c>
      <c r="AD16" s="537">
        <v>77</v>
      </c>
      <c r="AE16" s="537">
        <v>5</v>
      </c>
      <c r="AF16" s="537">
        <v>5</v>
      </c>
      <c r="AG16" s="537">
        <v>6</v>
      </c>
      <c r="AH16" s="537">
        <v>6</v>
      </c>
      <c r="AI16" s="537">
        <v>7</v>
      </c>
      <c r="AJ16" s="537">
        <v>7</v>
      </c>
      <c r="AK16" s="537">
        <v>7</v>
      </c>
      <c r="AL16" s="537">
        <v>7</v>
      </c>
      <c r="AM16" s="544">
        <v>7</v>
      </c>
      <c r="AN16" s="544">
        <v>7</v>
      </c>
      <c r="AO16" s="544">
        <v>7</v>
      </c>
      <c r="AP16" s="544">
        <v>7</v>
      </c>
      <c r="AQ16" s="544">
        <v>7</v>
      </c>
      <c r="AR16" s="544">
        <v>7</v>
      </c>
      <c r="AS16" s="544">
        <v>7</v>
      </c>
      <c r="AT16" s="544">
        <v>7</v>
      </c>
      <c r="AU16" s="544">
        <v>7</v>
      </c>
      <c r="AV16" s="545">
        <v>7</v>
      </c>
      <c r="AW16" s="545">
        <v>6</v>
      </c>
      <c r="AX16" s="545">
        <v>7</v>
      </c>
      <c r="AY16" s="545">
        <v>6</v>
      </c>
      <c r="AZ16" s="545">
        <v>5</v>
      </c>
      <c r="BA16" s="545">
        <v>6</v>
      </c>
      <c r="BB16" s="545">
        <v>6</v>
      </c>
      <c r="BC16" s="540">
        <f t="shared" si="3"/>
        <v>78</v>
      </c>
      <c r="BD16" s="521">
        <f t="shared" ref="BD16:BE16" si="29">AE16+AG16+AI16+AK16+AM16+AO16+AQ16+AS16+AU16+AW16+AY16+BA16</f>
        <v>78</v>
      </c>
      <c r="BE16" s="521">
        <f t="shared" si="29"/>
        <v>78</v>
      </c>
      <c r="BF16" s="521">
        <f t="shared" ref="BF16:BG16" si="30">AE16+AG16+AI16+AK16+AM16+AO16+AQ16+AS16+AU16+AW16+AY16+BA16</f>
        <v>78</v>
      </c>
      <c r="BG16" s="521">
        <f t="shared" si="30"/>
        <v>78</v>
      </c>
      <c r="BH16" s="546">
        <v>100</v>
      </c>
      <c r="BI16" s="546">
        <v>0</v>
      </c>
      <c r="BJ16" s="546">
        <v>0</v>
      </c>
      <c r="BK16" s="546">
        <v>10</v>
      </c>
      <c r="BL16" s="546">
        <v>10</v>
      </c>
      <c r="BM16" s="546">
        <v>9</v>
      </c>
      <c r="BN16" s="546">
        <v>10</v>
      </c>
      <c r="BO16" s="546">
        <v>9</v>
      </c>
      <c r="BP16" s="546">
        <v>10</v>
      </c>
      <c r="BQ16" s="546">
        <v>9</v>
      </c>
      <c r="BR16" s="546">
        <v>10</v>
      </c>
      <c r="BS16" s="546">
        <v>9</v>
      </c>
      <c r="BT16" s="546">
        <v>10</v>
      </c>
      <c r="BU16" s="546">
        <v>9</v>
      </c>
      <c r="BV16" s="546">
        <v>10</v>
      </c>
      <c r="BW16" s="546">
        <v>9</v>
      </c>
      <c r="BX16" s="546">
        <v>10</v>
      </c>
      <c r="BY16" s="546">
        <v>9</v>
      </c>
      <c r="BZ16" s="546">
        <v>10</v>
      </c>
      <c r="CA16" s="546">
        <v>9</v>
      </c>
      <c r="CB16" s="546">
        <v>10</v>
      </c>
      <c r="CC16" s="546">
        <v>9</v>
      </c>
      <c r="CD16" s="546">
        <v>9</v>
      </c>
      <c r="CE16" s="546">
        <v>18</v>
      </c>
      <c r="CF16" s="546">
        <v>10</v>
      </c>
      <c r="CG16" s="540">
        <f t="shared" si="6"/>
        <v>109</v>
      </c>
      <c r="CH16" s="521">
        <f t="shared" ref="CH16:CI16" si="31">BI16+BK16+BM16+BO16+BQ16+BS16+BU16+BW16+BY16+CA16+CC16+CE16</f>
        <v>109</v>
      </c>
      <c r="CI16" s="521">
        <f t="shared" si="31"/>
        <v>109</v>
      </c>
      <c r="CJ16" s="521">
        <f t="shared" ref="CJ16:CK16" si="32">BI16+BK16+BM16+BO16+BQ16+BS16+BU16+BW16+BY16+CA16+CC16+CE16</f>
        <v>109</v>
      </c>
      <c r="CK16" s="521">
        <f t="shared" si="32"/>
        <v>109</v>
      </c>
      <c r="CL16" s="526">
        <v>140</v>
      </c>
      <c r="CM16" s="546">
        <v>0</v>
      </c>
      <c r="CN16" s="546">
        <v>0</v>
      </c>
      <c r="CO16" s="546">
        <v>13</v>
      </c>
      <c r="CP16" s="546">
        <v>13</v>
      </c>
      <c r="CQ16" s="546">
        <v>13</v>
      </c>
      <c r="CR16" s="546">
        <v>13</v>
      </c>
      <c r="CS16" s="546">
        <v>13</v>
      </c>
      <c r="CT16" s="546">
        <v>13</v>
      </c>
      <c r="CU16" s="546">
        <v>13</v>
      </c>
      <c r="CV16" s="546">
        <v>13</v>
      </c>
      <c r="CW16" s="546">
        <v>13</v>
      </c>
      <c r="CX16" s="546">
        <v>13</v>
      </c>
      <c r="CY16" s="546">
        <v>13</v>
      </c>
      <c r="CZ16" s="546">
        <v>13</v>
      </c>
      <c r="DA16" s="546">
        <v>13</v>
      </c>
      <c r="DB16" s="546">
        <v>13</v>
      </c>
      <c r="DC16" s="546">
        <v>13</v>
      </c>
      <c r="DD16" s="546">
        <v>13</v>
      </c>
      <c r="DE16" s="546">
        <v>13</v>
      </c>
      <c r="DF16" s="546">
        <v>13</v>
      </c>
      <c r="DG16" s="546">
        <v>13</v>
      </c>
      <c r="DH16" s="546">
        <v>10</v>
      </c>
      <c r="DI16" s="546">
        <v>10</v>
      </c>
      <c r="DJ16" s="546">
        <v>10</v>
      </c>
      <c r="DK16" s="521">
        <f t="shared" si="9"/>
        <v>140</v>
      </c>
      <c r="DL16" s="521">
        <f t="shared" ref="DL16:DM16" si="33">CM16+CO16+CQ16+CS16+CU16+CW16+CY16+DA16+DC16+DE16+DG16+DI16</f>
        <v>140</v>
      </c>
      <c r="DM16" s="521">
        <f t="shared" si="33"/>
        <v>137</v>
      </c>
      <c r="DN16" s="521">
        <f t="shared" ref="DN16:DO16" si="34">CM16+CO16+CQ16+CS16+CU16+CW16+CY16+DA16+DC16+DE16+DG16+DI16</f>
        <v>140</v>
      </c>
      <c r="DO16" s="521">
        <f t="shared" si="34"/>
        <v>137</v>
      </c>
      <c r="DP16" s="526">
        <v>53</v>
      </c>
      <c r="DQ16" s="546"/>
      <c r="DR16" s="546"/>
      <c r="DS16" s="546"/>
      <c r="DT16" s="546"/>
      <c r="DU16" s="546"/>
      <c r="DV16" s="546"/>
      <c r="DW16" s="546"/>
      <c r="DX16" s="546"/>
      <c r="DY16" s="546"/>
      <c r="DZ16" s="546"/>
      <c r="EA16" s="546"/>
      <c r="EB16" s="546"/>
      <c r="EC16" s="546"/>
      <c r="ED16" s="546"/>
      <c r="EE16" s="546"/>
      <c r="EF16" s="546"/>
      <c r="EG16" s="546"/>
      <c r="EH16" s="546"/>
      <c r="EI16" s="546"/>
      <c r="EJ16" s="546"/>
      <c r="EK16" s="546"/>
      <c r="EL16" s="546"/>
      <c r="EM16" s="546"/>
      <c r="EN16" s="546"/>
      <c r="EO16" s="546"/>
      <c r="EP16" s="546"/>
      <c r="EQ16" s="546"/>
      <c r="ER16" s="546"/>
      <c r="ES16" s="546"/>
      <c r="ET16" s="527">
        <f t="shared" si="19"/>
        <v>1</v>
      </c>
      <c r="EU16" s="527">
        <f t="shared" si="28"/>
        <v>0.97857142857142854</v>
      </c>
      <c r="EV16" s="528">
        <f t="shared" si="20"/>
        <v>0.97857142857142854</v>
      </c>
      <c r="EW16" s="528">
        <f t="shared" si="21"/>
        <v>0.99135446685878958</v>
      </c>
      <c r="EX16" s="528">
        <f t="shared" si="12"/>
        <v>0.86</v>
      </c>
      <c r="EY16" s="534" t="s">
        <v>192</v>
      </c>
      <c r="EZ16" s="372" t="s">
        <v>1348</v>
      </c>
      <c r="FA16" s="372" t="s">
        <v>1346</v>
      </c>
      <c r="FB16" s="535" t="s">
        <v>193</v>
      </c>
      <c r="FC16" s="372" t="s">
        <v>190</v>
      </c>
      <c r="FD16" s="12"/>
      <c r="FE16" s="12"/>
    </row>
    <row r="17" spans="1:161" ht="120.75" customHeight="1" x14ac:dyDescent="0.25">
      <c r="A17" s="717"/>
      <c r="B17" s="717"/>
      <c r="C17" s="514">
        <v>201</v>
      </c>
      <c r="D17" s="515" t="s">
        <v>194</v>
      </c>
      <c r="E17" s="514">
        <v>216</v>
      </c>
      <c r="F17" s="515" t="s">
        <v>195</v>
      </c>
      <c r="G17" s="514" t="s">
        <v>196</v>
      </c>
      <c r="H17" s="514" t="s">
        <v>177</v>
      </c>
      <c r="I17" s="516">
        <f>+J17+AD17+BH17+CL17+DP17</f>
        <v>19898</v>
      </c>
      <c r="J17" s="517">
        <f t="shared" si="0"/>
        <v>2500</v>
      </c>
      <c r="K17" s="536"/>
      <c r="L17" s="536"/>
      <c r="M17" s="536">
        <v>0</v>
      </c>
      <c r="N17" s="536">
        <v>0</v>
      </c>
      <c r="O17" s="536">
        <v>741</v>
      </c>
      <c r="P17" s="536">
        <v>741</v>
      </c>
      <c r="Q17" s="536">
        <v>1257</v>
      </c>
      <c r="R17" s="536">
        <v>1257</v>
      </c>
      <c r="S17" s="536">
        <v>1908</v>
      </c>
      <c r="T17" s="536">
        <v>1908</v>
      </c>
      <c r="U17" s="536">
        <v>2210</v>
      </c>
      <c r="V17" s="536">
        <v>2210</v>
      </c>
      <c r="W17" s="516">
        <v>2500</v>
      </c>
      <c r="X17" s="519">
        <v>2500</v>
      </c>
      <c r="Y17" s="519">
        <v>2500</v>
      </c>
      <c r="Z17" s="520">
        <f t="shared" si="1"/>
        <v>1</v>
      </c>
      <c r="AA17" s="519">
        <v>2500</v>
      </c>
      <c r="AB17" s="519">
        <v>2500</v>
      </c>
      <c r="AC17" s="521">
        <f t="shared" si="2"/>
        <v>2500</v>
      </c>
      <c r="AD17" s="537">
        <v>3500</v>
      </c>
      <c r="AE17" s="537">
        <v>246</v>
      </c>
      <c r="AF17" s="537">
        <v>246</v>
      </c>
      <c r="AG17" s="537">
        <v>301</v>
      </c>
      <c r="AH17" s="537">
        <v>301</v>
      </c>
      <c r="AI17" s="537">
        <v>296</v>
      </c>
      <c r="AJ17" s="537">
        <v>296</v>
      </c>
      <c r="AK17" s="537">
        <v>300</v>
      </c>
      <c r="AL17" s="537">
        <v>300</v>
      </c>
      <c r="AM17" s="537">
        <v>320</v>
      </c>
      <c r="AN17" s="539">
        <v>320</v>
      </c>
      <c r="AO17" s="539">
        <v>297</v>
      </c>
      <c r="AP17" s="539">
        <v>297</v>
      </c>
      <c r="AQ17" s="539">
        <v>290</v>
      </c>
      <c r="AR17" s="539">
        <v>293</v>
      </c>
      <c r="AS17" s="539">
        <v>290</v>
      </c>
      <c r="AT17" s="539">
        <v>311</v>
      </c>
      <c r="AU17" s="539">
        <v>290</v>
      </c>
      <c r="AV17" s="517">
        <v>295</v>
      </c>
      <c r="AW17" s="539">
        <v>290</v>
      </c>
      <c r="AX17" s="517">
        <v>292</v>
      </c>
      <c r="AY17" s="539">
        <v>290</v>
      </c>
      <c r="AZ17" s="517">
        <v>291</v>
      </c>
      <c r="BA17" s="539">
        <v>330</v>
      </c>
      <c r="BB17" s="517">
        <v>298</v>
      </c>
      <c r="BC17" s="540">
        <f t="shared" si="3"/>
        <v>3540</v>
      </c>
      <c r="BD17" s="521">
        <f t="shared" ref="BD17:BE17" si="35">AE17+AG17+AI17+AK17+AM17+AO17+AQ17+AS17+AU17+AW17+AY17+BA17</f>
        <v>3540</v>
      </c>
      <c r="BE17" s="521">
        <f t="shared" si="35"/>
        <v>3540</v>
      </c>
      <c r="BF17" s="521">
        <f t="shared" ref="BF17:BG17" si="36">AE17+AG17+AI17+AK17+AM17+AO17+AQ17+AS17+AU17+AW17+AY17+BA17</f>
        <v>3540</v>
      </c>
      <c r="BG17" s="521">
        <f t="shared" si="36"/>
        <v>3540</v>
      </c>
      <c r="BH17" s="541">
        <v>5000</v>
      </c>
      <c r="BI17" s="547">
        <v>40</v>
      </c>
      <c r="BJ17" s="547">
        <v>40</v>
      </c>
      <c r="BK17" s="548">
        <v>460</v>
      </c>
      <c r="BL17" s="548">
        <v>464</v>
      </c>
      <c r="BM17" s="548">
        <v>450</v>
      </c>
      <c r="BN17" s="548">
        <v>452</v>
      </c>
      <c r="BO17" s="548">
        <v>450</v>
      </c>
      <c r="BP17" s="548">
        <v>448</v>
      </c>
      <c r="BQ17" s="548">
        <v>450</v>
      </c>
      <c r="BR17" s="548">
        <v>457</v>
      </c>
      <c r="BS17" s="548">
        <v>450</v>
      </c>
      <c r="BT17" s="548">
        <v>451</v>
      </c>
      <c r="BU17" s="548">
        <v>450</v>
      </c>
      <c r="BV17" s="548">
        <v>455</v>
      </c>
      <c r="BW17" s="548">
        <v>450</v>
      </c>
      <c r="BX17" s="548">
        <v>475</v>
      </c>
      <c r="BY17" s="548">
        <v>450</v>
      </c>
      <c r="BZ17" s="548">
        <v>460</v>
      </c>
      <c r="CA17" s="548">
        <v>450</v>
      </c>
      <c r="CB17" s="548">
        <v>450</v>
      </c>
      <c r="CC17" s="548">
        <v>450</v>
      </c>
      <c r="CD17" s="548">
        <v>450</v>
      </c>
      <c r="CE17" s="547">
        <f>450+62</f>
        <v>512</v>
      </c>
      <c r="CF17" s="541">
        <v>460</v>
      </c>
      <c r="CG17" s="540">
        <f t="shared" si="6"/>
        <v>5062</v>
      </c>
      <c r="CH17" s="521">
        <f t="shared" ref="CH17:CI17" si="37">BI17+BK17+BM17+BO17+BQ17+BS17+BU17+BW17+BY17+CA17+CC17+CE17</f>
        <v>5062</v>
      </c>
      <c r="CI17" s="521">
        <f t="shared" si="37"/>
        <v>5062</v>
      </c>
      <c r="CJ17" s="521">
        <f t="shared" ref="CJ17:CK17" si="38">BI17+BK17+BM17+BO17+BQ17+BS17+BU17+BW17+BY17+CA17+CC17+CE17</f>
        <v>5062</v>
      </c>
      <c r="CK17" s="521">
        <f t="shared" si="38"/>
        <v>5062</v>
      </c>
      <c r="CL17" s="548">
        <v>6000</v>
      </c>
      <c r="CM17" s="548">
        <v>0</v>
      </c>
      <c r="CN17" s="548">
        <v>0</v>
      </c>
      <c r="CO17" s="548">
        <v>600</v>
      </c>
      <c r="CP17" s="548">
        <v>600</v>
      </c>
      <c r="CQ17" s="548">
        <v>650</v>
      </c>
      <c r="CR17" s="548">
        <v>650</v>
      </c>
      <c r="CS17" s="548">
        <v>575</v>
      </c>
      <c r="CT17" s="548">
        <v>600</v>
      </c>
      <c r="CU17" s="548">
        <v>575</v>
      </c>
      <c r="CV17" s="548">
        <v>600</v>
      </c>
      <c r="CW17" s="548">
        <v>575</v>
      </c>
      <c r="CX17" s="548">
        <v>615</v>
      </c>
      <c r="CY17" s="548">
        <v>575</v>
      </c>
      <c r="CZ17" s="549">
        <v>575</v>
      </c>
      <c r="DA17" s="548">
        <v>575</v>
      </c>
      <c r="DB17" s="548">
        <v>671</v>
      </c>
      <c r="DC17" s="548">
        <v>575</v>
      </c>
      <c r="DD17" s="548">
        <v>585</v>
      </c>
      <c r="DE17" s="548">
        <v>575</v>
      </c>
      <c r="DF17" s="548">
        <v>611</v>
      </c>
      <c r="DG17" s="548">
        <v>575</v>
      </c>
      <c r="DH17" s="548">
        <v>223</v>
      </c>
      <c r="DI17" s="548">
        <v>150</v>
      </c>
      <c r="DJ17" s="548">
        <v>192</v>
      </c>
      <c r="DK17" s="521">
        <f t="shared" si="9"/>
        <v>6000</v>
      </c>
      <c r="DL17" s="521">
        <f t="shared" ref="DL17" si="39">CM17+CO17+CQ17+CS17+CU17+CW17+CY17+DA17+DC17+DE17+DG17+DI17</f>
        <v>6000</v>
      </c>
      <c r="DM17" s="521">
        <f>CN17+CP17+CR17+CT17+CV17+CX17+CZ17+DB17+DD17+DF17+DH17+DJ17</f>
        <v>5922</v>
      </c>
      <c r="DN17" s="521">
        <f t="shared" ref="DN17:DO17" si="40">CM17+CO17+CQ17+CS17+CU17+CW17+CY17+DA17+DC17+DE17+DG17+DI17</f>
        <v>6000</v>
      </c>
      <c r="DO17" s="521">
        <f t="shared" si="40"/>
        <v>5922</v>
      </c>
      <c r="DP17" s="548">
        <v>2898</v>
      </c>
      <c r="DQ17" s="548"/>
      <c r="DR17" s="548"/>
      <c r="DS17" s="548"/>
      <c r="DT17" s="548"/>
      <c r="DU17" s="548"/>
      <c r="DV17" s="548"/>
      <c r="DW17" s="548"/>
      <c r="DX17" s="548"/>
      <c r="DY17" s="548"/>
      <c r="DZ17" s="548"/>
      <c r="EA17" s="548"/>
      <c r="EB17" s="548"/>
      <c r="EC17" s="548"/>
      <c r="ED17" s="548"/>
      <c r="EE17" s="548"/>
      <c r="EF17" s="548"/>
      <c r="EG17" s="548"/>
      <c r="EH17" s="548"/>
      <c r="EI17" s="548"/>
      <c r="EJ17" s="548"/>
      <c r="EK17" s="548"/>
      <c r="EL17" s="548"/>
      <c r="EM17" s="548"/>
      <c r="EN17" s="548"/>
      <c r="EO17" s="548"/>
      <c r="EP17" s="548"/>
      <c r="EQ17" s="548"/>
      <c r="ER17" s="548"/>
      <c r="ES17" s="548"/>
      <c r="ET17" s="527">
        <f t="shared" si="19"/>
        <v>1.28</v>
      </c>
      <c r="EU17" s="527">
        <f>DM17/DL17</f>
        <v>0.98699999999999999</v>
      </c>
      <c r="EV17" s="528">
        <f t="shared" si="20"/>
        <v>0.98699999999999999</v>
      </c>
      <c r="EW17" s="528">
        <f>(AC17+BG17+CK17+DM17)/(AB17+BF17+CJ17+DL17)</f>
        <v>0.99543912992632444</v>
      </c>
      <c r="EX17" s="528">
        <f>(AC17+BG17+CK17+DO17)/I17</f>
        <v>0.85556337320333697</v>
      </c>
      <c r="EY17" s="550" t="s">
        <v>1369</v>
      </c>
      <c r="EZ17" s="372" t="s">
        <v>1347</v>
      </c>
      <c r="FA17" s="372" t="s">
        <v>1346</v>
      </c>
      <c r="FB17" s="535" t="s">
        <v>197</v>
      </c>
      <c r="FC17" s="372" t="s">
        <v>198</v>
      </c>
      <c r="FD17" s="12"/>
      <c r="FE17" s="12"/>
    </row>
    <row r="18" spans="1:161" ht="87" customHeight="1" x14ac:dyDescent="0.25">
      <c r="A18" s="31"/>
      <c r="B18" s="31"/>
      <c r="C18" s="32"/>
      <c r="D18" s="33"/>
      <c r="E18" s="34"/>
      <c r="F18" s="35"/>
      <c r="G18" s="36"/>
      <c r="H18" s="37"/>
      <c r="I18" s="32"/>
      <c r="J18" s="32"/>
      <c r="K18" s="32"/>
      <c r="L18" s="32"/>
      <c r="M18" s="32"/>
      <c r="N18" s="32"/>
      <c r="O18" s="32"/>
      <c r="P18" s="32"/>
      <c r="Q18" s="32"/>
      <c r="R18" s="32"/>
      <c r="S18" s="32"/>
      <c r="T18" s="32"/>
      <c r="U18" s="32"/>
      <c r="V18" s="38"/>
      <c r="W18" s="32"/>
      <c r="X18" s="38"/>
      <c r="Y18" s="32"/>
      <c r="Z18" s="32"/>
      <c r="AA18" s="32"/>
      <c r="AB18" s="32"/>
      <c r="AC18" s="38"/>
      <c r="AD18" s="32"/>
      <c r="AE18" s="32"/>
      <c r="AF18" s="32"/>
      <c r="AG18" s="32"/>
      <c r="AH18" s="32"/>
      <c r="AI18" s="32"/>
      <c r="AJ18" s="32"/>
      <c r="AK18" s="32"/>
      <c r="AL18" s="32"/>
      <c r="AM18" s="32"/>
      <c r="AN18" s="32"/>
      <c r="AO18" s="32"/>
      <c r="AP18" s="32"/>
      <c r="AQ18" s="32"/>
      <c r="AR18" s="32"/>
      <c r="AS18" s="32"/>
      <c r="AT18" s="32"/>
      <c r="AU18" s="32"/>
      <c r="AV18" s="39"/>
      <c r="AW18" s="32"/>
      <c r="AX18" s="32"/>
      <c r="AY18" s="32"/>
      <c r="AZ18" s="32"/>
      <c r="BA18" s="32"/>
      <c r="BB18" s="39"/>
      <c r="BC18" s="40"/>
      <c r="BD18" s="40"/>
      <c r="BE18" s="40"/>
      <c r="BF18" s="40"/>
      <c r="BG18" s="38"/>
      <c r="BH18" s="41"/>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38"/>
      <c r="CH18" s="38"/>
      <c r="CI18" s="38"/>
      <c r="CJ18" s="38"/>
      <c r="CK18" s="38"/>
      <c r="CL18" s="43"/>
      <c r="CM18" s="32"/>
      <c r="CN18" s="32"/>
      <c r="CO18" s="32"/>
      <c r="CP18" s="32"/>
      <c r="CQ18" s="32"/>
      <c r="CR18" s="44"/>
      <c r="CS18" s="32"/>
      <c r="CT18" s="32"/>
      <c r="CU18" s="32"/>
      <c r="CV18" s="32"/>
      <c r="CW18" s="32"/>
      <c r="CX18" s="44"/>
      <c r="CY18" s="32"/>
      <c r="CZ18" s="32"/>
      <c r="DA18" s="32"/>
      <c r="DB18" s="32"/>
      <c r="DC18" s="32"/>
      <c r="DD18" s="32"/>
      <c r="DE18" s="32"/>
      <c r="DF18" s="32"/>
      <c r="DG18" s="32"/>
      <c r="DH18" s="44"/>
      <c r="DI18" s="37"/>
      <c r="DJ18" s="32"/>
      <c r="DK18" s="32"/>
      <c r="DL18" s="32"/>
      <c r="DM18" s="32"/>
      <c r="DN18" s="32"/>
      <c r="DO18" s="32"/>
      <c r="DP18" s="43"/>
      <c r="DQ18" s="32"/>
      <c r="DR18" s="32"/>
      <c r="DS18" s="32"/>
      <c r="DT18" s="32"/>
      <c r="DU18" s="32"/>
      <c r="DV18" s="32"/>
      <c r="DW18" s="32"/>
      <c r="DX18" s="32"/>
      <c r="DY18" s="32"/>
      <c r="DZ18" s="32"/>
      <c r="EA18" s="32"/>
      <c r="EB18" s="32"/>
      <c r="EC18" s="32"/>
      <c r="ED18" s="32"/>
      <c r="EE18" s="32"/>
      <c r="EF18" s="32"/>
      <c r="EG18" s="32"/>
      <c r="EH18" s="32"/>
      <c r="EI18" s="32"/>
      <c r="EJ18" s="32"/>
      <c r="EK18" s="32"/>
      <c r="EL18" s="32"/>
      <c r="EM18" s="32"/>
      <c r="EN18" s="32"/>
      <c r="EO18" s="32"/>
      <c r="EP18" s="32"/>
      <c r="EQ18" s="32"/>
      <c r="ER18" s="32"/>
      <c r="ES18" s="32"/>
      <c r="ET18" s="45"/>
      <c r="EU18" s="45"/>
      <c r="EV18" s="46"/>
      <c r="EW18" s="47"/>
      <c r="EX18" s="47"/>
      <c r="EY18" s="48"/>
      <c r="EZ18" s="49"/>
      <c r="FA18" s="49"/>
      <c r="FB18" s="50"/>
      <c r="FC18" s="51"/>
      <c r="FD18" s="34"/>
      <c r="FE18" s="34"/>
    </row>
    <row r="19" spans="1:161" ht="26.25" x14ac:dyDescent="0.4">
      <c r="D19" s="52" t="s">
        <v>199</v>
      </c>
      <c r="I19" s="3"/>
      <c r="J19" s="3"/>
      <c r="K19" s="3"/>
      <c r="L19" s="3"/>
      <c r="M19" s="3"/>
      <c r="N19" s="3"/>
      <c r="O19" s="3"/>
      <c r="P19" s="3"/>
      <c r="Q19" s="3"/>
      <c r="R19" s="3"/>
      <c r="S19" s="3"/>
      <c r="T19" s="3"/>
      <c r="U19" s="3"/>
      <c r="V19" s="3"/>
      <c r="W19" s="3"/>
      <c r="X19" s="3"/>
      <c r="Y19" s="53"/>
      <c r="Z19" s="54"/>
      <c r="AA19" s="55"/>
      <c r="AB19" s="3"/>
      <c r="AC19" s="54"/>
      <c r="AD19" s="3"/>
      <c r="AE19" s="3"/>
      <c r="AF19" s="3"/>
      <c r="AG19" s="3"/>
      <c r="AH19" s="3"/>
      <c r="AI19" s="3"/>
      <c r="AJ19" s="3"/>
      <c r="AK19" s="3"/>
      <c r="AL19" s="3"/>
      <c r="AM19" s="3"/>
      <c r="AN19" s="3"/>
      <c r="AO19" s="3"/>
      <c r="AP19" s="3"/>
      <c r="AQ19" s="3"/>
      <c r="AR19" s="3"/>
      <c r="AS19" s="3"/>
      <c r="AT19" s="3"/>
      <c r="AU19" s="3"/>
      <c r="AV19" s="56"/>
      <c r="AW19" s="57"/>
      <c r="AX19" s="57"/>
      <c r="AY19" s="57"/>
      <c r="AZ19" s="57"/>
      <c r="BA19" s="57"/>
      <c r="BB19" s="56"/>
      <c r="BC19" s="57"/>
      <c r="BD19" s="57"/>
      <c r="BE19" s="57"/>
      <c r="BF19" s="57"/>
      <c r="BG19" s="57"/>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3"/>
      <c r="CH19" s="3"/>
      <c r="CI19" s="3"/>
      <c r="CJ19" s="3"/>
      <c r="CK19" s="3"/>
      <c r="CL19" s="3"/>
      <c r="CM19" s="3"/>
      <c r="CN19" s="3"/>
      <c r="CO19" s="3"/>
      <c r="CP19" s="3"/>
      <c r="CQ19" s="3"/>
      <c r="CR19" s="3"/>
      <c r="CS19" s="32"/>
      <c r="CT19" s="32"/>
      <c r="CU19" s="3"/>
      <c r="CV19" s="3"/>
      <c r="CW19" s="3"/>
      <c r="CX19" s="58"/>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Y19" s="59"/>
      <c r="EZ19" s="1"/>
      <c r="FA19" s="1"/>
    </row>
    <row r="20" spans="1:161" x14ac:dyDescent="0.25">
      <c r="D20" s="60" t="s">
        <v>200</v>
      </c>
      <c r="E20" s="710" t="s">
        <v>201</v>
      </c>
      <c r="F20" s="711"/>
      <c r="G20" s="711"/>
      <c r="H20" s="711"/>
      <c r="I20" s="711"/>
      <c r="J20" s="712"/>
      <c r="K20" s="719" t="s">
        <v>202</v>
      </c>
      <c r="L20" s="711"/>
      <c r="M20" s="711"/>
      <c r="N20" s="711"/>
      <c r="O20" s="711"/>
      <c r="P20" s="711"/>
      <c r="Q20" s="711"/>
      <c r="R20" s="711"/>
      <c r="S20" s="712"/>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2"/>
      <c r="AW20" s="3"/>
      <c r="AX20" s="3"/>
      <c r="AY20" s="3"/>
      <c r="AZ20" s="3"/>
      <c r="BA20" s="3"/>
      <c r="BB20" s="2"/>
      <c r="BC20" s="3"/>
      <c r="BD20" s="3"/>
      <c r="BE20" s="3"/>
      <c r="BF20" s="3"/>
      <c r="BG20" s="3"/>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3"/>
      <c r="CH20" s="3"/>
      <c r="CI20" s="3"/>
      <c r="CJ20" s="3"/>
      <c r="CK20" s="3"/>
      <c r="CL20" s="3"/>
      <c r="CM20" s="3"/>
      <c r="CN20" s="3"/>
      <c r="CO20" s="3"/>
      <c r="CP20" s="3"/>
      <c r="CQ20" s="3"/>
      <c r="CR20" s="3"/>
      <c r="CS20" s="32"/>
      <c r="CT20" s="32"/>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Y20" s="1"/>
      <c r="EZ20" s="1"/>
      <c r="FA20" s="1"/>
    </row>
    <row r="21" spans="1:161" ht="15.75" customHeight="1" x14ac:dyDescent="0.25">
      <c r="D21" s="61">
        <v>13</v>
      </c>
      <c r="E21" s="713" t="s">
        <v>203</v>
      </c>
      <c r="F21" s="711"/>
      <c r="G21" s="711"/>
      <c r="H21" s="711"/>
      <c r="I21" s="711"/>
      <c r="J21" s="712"/>
      <c r="K21" s="714" t="s">
        <v>204</v>
      </c>
      <c r="L21" s="711"/>
      <c r="M21" s="711"/>
      <c r="N21" s="711"/>
      <c r="O21" s="711"/>
      <c r="P21" s="711"/>
      <c r="Q21" s="711"/>
      <c r="R21" s="711"/>
      <c r="S21" s="712"/>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2"/>
      <c r="AW21" s="3"/>
      <c r="AX21" s="3"/>
      <c r="AY21" s="3"/>
      <c r="AZ21" s="3"/>
      <c r="BA21" s="3"/>
      <c r="BB21" s="2"/>
      <c r="BC21" s="3"/>
      <c r="BD21" s="3"/>
      <c r="BE21" s="3"/>
      <c r="BF21" s="3"/>
      <c r="BG21" s="3"/>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3"/>
      <c r="CH21" s="3"/>
      <c r="CI21" s="3"/>
      <c r="CJ21" s="3"/>
      <c r="CK21" s="3"/>
      <c r="CL21" s="3"/>
      <c r="CM21" s="3"/>
      <c r="CN21" s="3"/>
      <c r="CO21" s="3"/>
      <c r="CP21" s="3"/>
      <c r="CQ21" s="3"/>
      <c r="CR21" s="3"/>
      <c r="CS21" s="32"/>
      <c r="CT21" s="32"/>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Y21" s="1"/>
      <c r="EZ21" s="1"/>
      <c r="FA21" s="1"/>
    </row>
    <row r="22" spans="1:161" ht="15.75" customHeight="1" x14ac:dyDescent="0.25">
      <c r="D22" s="61">
        <v>14</v>
      </c>
      <c r="E22" s="713" t="s">
        <v>205</v>
      </c>
      <c r="F22" s="711"/>
      <c r="G22" s="711"/>
      <c r="H22" s="711"/>
      <c r="I22" s="711"/>
      <c r="J22" s="712"/>
      <c r="K22" s="714" t="s">
        <v>206</v>
      </c>
      <c r="L22" s="711"/>
      <c r="M22" s="711"/>
      <c r="N22" s="711"/>
      <c r="O22" s="711"/>
      <c r="P22" s="711"/>
      <c r="Q22" s="711"/>
      <c r="R22" s="711"/>
      <c r="S22" s="712"/>
      <c r="T22" s="3"/>
      <c r="U22" s="3"/>
      <c r="V22" s="3"/>
      <c r="W22" s="3"/>
      <c r="X22" s="3"/>
      <c r="Y22" s="3"/>
      <c r="Z22" s="3"/>
      <c r="AA22" s="3"/>
      <c r="AB22" s="3"/>
      <c r="AC22" s="57"/>
      <c r="AD22" s="3"/>
      <c r="AE22" s="3"/>
      <c r="AF22" s="3"/>
      <c r="AG22" s="3"/>
      <c r="AH22" s="3"/>
      <c r="AI22" s="3"/>
      <c r="AJ22" s="3"/>
      <c r="AK22" s="3"/>
      <c r="AL22" s="3"/>
      <c r="AM22" s="3"/>
      <c r="AN22" s="3"/>
      <c r="AO22" s="3"/>
      <c r="AP22" s="3"/>
      <c r="AQ22" s="3"/>
      <c r="AR22" s="3"/>
      <c r="AS22" s="3"/>
      <c r="AT22" s="3"/>
      <c r="AU22" s="3"/>
      <c r="AV22" s="2"/>
      <c r="AW22" s="3"/>
      <c r="AX22" s="3"/>
      <c r="AY22" s="3"/>
      <c r="AZ22" s="3"/>
      <c r="BA22" s="3"/>
      <c r="BB22" s="2"/>
      <c r="BC22" s="3"/>
      <c r="BD22" s="3"/>
      <c r="BE22" s="3"/>
      <c r="BF22" s="3"/>
      <c r="BG22" s="3"/>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3"/>
      <c r="CH22" s="3"/>
      <c r="CI22" s="3"/>
      <c r="CJ22" s="3"/>
      <c r="CK22" s="3"/>
      <c r="CL22" s="3"/>
      <c r="CM22" s="3"/>
      <c r="CN22" s="3"/>
      <c r="CO22" s="3"/>
      <c r="CP22" s="3"/>
      <c r="CQ22" s="3"/>
      <c r="CR22" s="3"/>
      <c r="CS22" s="32"/>
      <c r="CT22" s="32"/>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Y22" s="1"/>
      <c r="EZ22" s="1"/>
      <c r="FA22" s="1"/>
    </row>
    <row r="23" spans="1:161" ht="15.75" customHeight="1" x14ac:dyDescent="0.25">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2"/>
      <c r="AW23" s="3"/>
      <c r="AX23" s="3"/>
      <c r="AY23" s="3"/>
      <c r="AZ23" s="3"/>
      <c r="BA23" s="3"/>
      <c r="BB23" s="2"/>
      <c r="BC23" s="3"/>
      <c r="BD23" s="3"/>
      <c r="BE23" s="3"/>
      <c r="BF23" s="3"/>
      <c r="BG23" s="3"/>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3"/>
      <c r="CH23" s="3"/>
      <c r="CI23" s="3"/>
      <c r="CJ23" s="3"/>
      <c r="CK23" s="3"/>
      <c r="CL23" s="3"/>
      <c r="CM23" s="3"/>
      <c r="CN23" s="3"/>
      <c r="CO23" s="3"/>
      <c r="CP23" s="3"/>
      <c r="CQ23" s="3"/>
      <c r="CR23" s="3"/>
      <c r="CS23" s="32"/>
      <c r="CT23" s="32"/>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Y23" s="1"/>
      <c r="EZ23" s="1"/>
      <c r="FA23" s="1"/>
    </row>
    <row r="24" spans="1:161" ht="15.75" customHeight="1" x14ac:dyDescent="0.25">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2"/>
      <c r="AW24" s="3"/>
      <c r="AX24" s="3"/>
      <c r="AY24" s="3"/>
      <c r="AZ24" s="3"/>
      <c r="BA24" s="3"/>
      <c r="BB24" s="2"/>
      <c r="BC24" s="3"/>
      <c r="BD24" s="3"/>
      <c r="BE24" s="3"/>
      <c r="BF24" s="3"/>
      <c r="BG24" s="3"/>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3"/>
      <c r="CH24" s="3"/>
      <c r="CI24" s="3"/>
      <c r="CJ24" s="3"/>
      <c r="CK24" s="3"/>
      <c r="CL24" s="3"/>
      <c r="CM24" s="3"/>
      <c r="CN24" s="3"/>
      <c r="CO24" s="3"/>
      <c r="CP24" s="3"/>
      <c r="CQ24" s="3"/>
      <c r="CR24" s="3"/>
      <c r="CS24" s="32"/>
      <c r="CT24" s="32"/>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Y24" s="1"/>
      <c r="EZ24" s="1"/>
      <c r="FA24" s="1"/>
    </row>
    <row r="25" spans="1:161" ht="15.75" customHeight="1" x14ac:dyDescent="0.25">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2"/>
      <c r="AW25" s="3"/>
      <c r="AX25" s="3"/>
      <c r="AY25" s="3"/>
      <c r="AZ25" s="3"/>
      <c r="BA25" s="3"/>
      <c r="BB25" s="2"/>
      <c r="BC25" s="3"/>
      <c r="BD25" s="3"/>
      <c r="BE25" s="3"/>
      <c r="BF25" s="3"/>
      <c r="BG25" s="3"/>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3"/>
      <c r="CH25" s="3"/>
      <c r="CI25" s="3"/>
      <c r="CJ25" s="3"/>
      <c r="CK25" s="3"/>
      <c r="CL25" s="3"/>
      <c r="CM25" s="3"/>
      <c r="CN25" s="3"/>
      <c r="CO25" s="3"/>
      <c r="CP25" s="3"/>
      <c r="CQ25" s="3"/>
      <c r="CR25" s="3"/>
      <c r="CS25" s="32"/>
      <c r="CT25" s="32"/>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Y25" s="1"/>
      <c r="EZ25" s="1"/>
      <c r="FA25" s="1"/>
    </row>
    <row r="26" spans="1:161" ht="15.75" customHeight="1" x14ac:dyDescent="0.25">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2"/>
      <c r="AW26" s="3"/>
      <c r="AX26" s="3"/>
      <c r="AY26" s="3"/>
      <c r="AZ26" s="3"/>
      <c r="BA26" s="3"/>
      <c r="BB26" s="2"/>
      <c r="BC26" s="3"/>
      <c r="BD26" s="3"/>
      <c r="BE26" s="3"/>
      <c r="BF26" s="3"/>
      <c r="BG26" s="3"/>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3"/>
      <c r="CH26" s="3"/>
      <c r="CI26" s="3"/>
      <c r="CJ26" s="3"/>
      <c r="CK26" s="3"/>
      <c r="CL26" s="3"/>
      <c r="CM26" s="3"/>
      <c r="CN26" s="3"/>
      <c r="CO26" s="3"/>
      <c r="CP26" s="3"/>
      <c r="CQ26" s="3"/>
      <c r="CR26" s="3"/>
      <c r="CS26" s="32"/>
      <c r="CT26" s="32"/>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Y26" s="1"/>
      <c r="EZ26" s="1"/>
      <c r="FA26" s="1"/>
    </row>
    <row r="27" spans="1:161" ht="15.75" customHeight="1" x14ac:dyDescent="0.25">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2"/>
      <c r="AW27" s="3"/>
      <c r="AX27" s="3"/>
      <c r="AY27" s="3"/>
      <c r="AZ27" s="3"/>
      <c r="BA27" s="3"/>
      <c r="BB27" s="2"/>
      <c r="BC27" s="3"/>
      <c r="BD27" s="3"/>
      <c r="BE27" s="3"/>
      <c r="BF27" s="3"/>
      <c r="BG27" s="3"/>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3"/>
      <c r="CH27" s="3"/>
      <c r="CI27" s="3"/>
      <c r="CJ27" s="3"/>
      <c r="CK27" s="3"/>
      <c r="CL27" s="3"/>
      <c r="CM27" s="3"/>
      <c r="CN27" s="3"/>
      <c r="CO27" s="3"/>
      <c r="CP27" s="3"/>
      <c r="CQ27" s="3"/>
      <c r="CR27" s="3"/>
      <c r="CS27" s="32"/>
      <c r="CT27" s="32"/>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Y27" s="1"/>
      <c r="EZ27" s="1"/>
      <c r="FA27" s="1"/>
    </row>
    <row r="28" spans="1:161" ht="15.75" customHeight="1" x14ac:dyDescent="0.25">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2"/>
      <c r="AW28" s="3"/>
      <c r="AX28" s="3"/>
      <c r="AY28" s="3"/>
      <c r="AZ28" s="3"/>
      <c r="BA28" s="3"/>
      <c r="BB28" s="2"/>
      <c r="BC28" s="3"/>
      <c r="BD28" s="3"/>
      <c r="BE28" s="3"/>
      <c r="BF28" s="3"/>
      <c r="BG28" s="3"/>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3"/>
      <c r="CH28" s="3"/>
      <c r="CI28" s="3"/>
      <c r="CJ28" s="3"/>
      <c r="CK28" s="3"/>
      <c r="CL28" s="3"/>
      <c r="CM28" s="3"/>
      <c r="CN28" s="3"/>
      <c r="CO28" s="3"/>
      <c r="CP28" s="3"/>
      <c r="CQ28" s="3"/>
      <c r="CR28" s="3"/>
      <c r="CS28" s="32"/>
      <c r="CT28" s="32"/>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Y28" s="1"/>
      <c r="EZ28" s="1"/>
      <c r="FA28" s="1"/>
    </row>
    <row r="29" spans="1:161" ht="15.75" customHeight="1" x14ac:dyDescent="0.25">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2"/>
      <c r="AW29" s="3"/>
      <c r="AX29" s="3"/>
      <c r="AY29" s="3"/>
      <c r="AZ29" s="3"/>
      <c r="BA29" s="3"/>
      <c r="BB29" s="2"/>
      <c r="BC29" s="3"/>
      <c r="BD29" s="3"/>
      <c r="BE29" s="3"/>
      <c r="BF29" s="3"/>
      <c r="BG29" s="3"/>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3"/>
      <c r="CH29" s="3"/>
      <c r="CI29" s="3"/>
      <c r="CJ29" s="3"/>
      <c r="CK29" s="3"/>
      <c r="CL29" s="3"/>
      <c r="CM29" s="3"/>
      <c r="CN29" s="3"/>
      <c r="CO29" s="3"/>
      <c r="CP29" s="3"/>
      <c r="CQ29" s="3"/>
      <c r="CR29" s="3"/>
      <c r="CS29" s="32"/>
      <c r="CT29" s="32"/>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Y29" s="1"/>
      <c r="EZ29" s="1"/>
      <c r="FA29" s="1"/>
    </row>
    <row r="30" spans="1:161" ht="15.75" customHeight="1" x14ac:dyDescent="0.25">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2"/>
      <c r="AW30" s="3"/>
      <c r="AX30" s="3"/>
      <c r="AY30" s="3"/>
      <c r="AZ30" s="3"/>
      <c r="BA30" s="3"/>
      <c r="BB30" s="2"/>
      <c r="BC30" s="3"/>
      <c r="BD30" s="3"/>
      <c r="BE30" s="3"/>
      <c r="BF30" s="3"/>
      <c r="BG30" s="3"/>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3"/>
      <c r="CH30" s="3"/>
      <c r="CI30" s="3"/>
      <c r="CJ30" s="3"/>
      <c r="CK30" s="3"/>
      <c r="CL30" s="3"/>
      <c r="CM30" s="3"/>
      <c r="CN30" s="3"/>
      <c r="CO30" s="3"/>
      <c r="CP30" s="3"/>
      <c r="CQ30" s="3"/>
      <c r="CR30" s="3"/>
      <c r="CS30" s="32"/>
      <c r="CT30" s="32"/>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Y30" s="1"/>
      <c r="EZ30" s="1"/>
      <c r="FA30" s="1"/>
    </row>
    <row r="31" spans="1:161" ht="15.75" customHeight="1" x14ac:dyDescent="0.25">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2"/>
      <c r="AW31" s="3"/>
      <c r="AX31" s="3"/>
      <c r="AY31" s="3"/>
      <c r="AZ31" s="3"/>
      <c r="BA31" s="3"/>
      <c r="BB31" s="2"/>
      <c r="BC31" s="3"/>
      <c r="BD31" s="3"/>
      <c r="BE31" s="3"/>
      <c r="BF31" s="3"/>
      <c r="BG31" s="3"/>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3"/>
      <c r="CH31" s="3"/>
      <c r="CI31" s="3"/>
      <c r="CJ31" s="3"/>
      <c r="CK31" s="3"/>
      <c r="CL31" s="3"/>
      <c r="CM31" s="3"/>
      <c r="CN31" s="3"/>
      <c r="CO31" s="3"/>
      <c r="CP31" s="3"/>
      <c r="CQ31" s="3"/>
      <c r="CR31" s="3"/>
      <c r="CS31" s="32"/>
      <c r="CT31" s="32"/>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Y31" s="1"/>
      <c r="EZ31" s="1"/>
      <c r="FA31" s="1"/>
    </row>
    <row r="32" spans="1:161" ht="15.75" customHeight="1" x14ac:dyDescent="0.25">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2"/>
      <c r="AW32" s="3"/>
      <c r="AX32" s="3"/>
      <c r="AY32" s="3"/>
      <c r="AZ32" s="3"/>
      <c r="BA32" s="3"/>
      <c r="BB32" s="2"/>
      <c r="BC32" s="3"/>
      <c r="BD32" s="3"/>
      <c r="BE32" s="3"/>
      <c r="BF32" s="3"/>
      <c r="BG32" s="3"/>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3"/>
      <c r="CH32" s="3"/>
      <c r="CI32" s="3"/>
      <c r="CJ32" s="3"/>
      <c r="CK32" s="3"/>
      <c r="CL32" s="3"/>
      <c r="CM32" s="3"/>
      <c r="CN32" s="3"/>
      <c r="CO32" s="3"/>
      <c r="CP32" s="3"/>
      <c r="CQ32" s="3"/>
      <c r="CR32" s="3"/>
      <c r="CS32" s="32"/>
      <c r="CT32" s="32"/>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Y32" s="1"/>
      <c r="EZ32" s="1"/>
      <c r="FA32" s="1"/>
    </row>
    <row r="33" spans="9:157" ht="15.75" customHeight="1" x14ac:dyDescent="0.25">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2"/>
      <c r="AW33" s="3"/>
      <c r="AX33" s="3"/>
      <c r="AY33" s="3"/>
      <c r="AZ33" s="3"/>
      <c r="BA33" s="3"/>
      <c r="BB33" s="2"/>
      <c r="BC33" s="3"/>
      <c r="BD33" s="3"/>
      <c r="BE33" s="3"/>
      <c r="BF33" s="3"/>
      <c r="BG33" s="3"/>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3"/>
      <c r="CH33" s="3"/>
      <c r="CI33" s="3"/>
      <c r="CJ33" s="3"/>
      <c r="CK33" s="3"/>
      <c r="CL33" s="3"/>
      <c r="CM33" s="3"/>
      <c r="CN33" s="3"/>
      <c r="CO33" s="3"/>
      <c r="CP33" s="3"/>
      <c r="CQ33" s="3"/>
      <c r="CR33" s="3"/>
      <c r="CS33" s="32"/>
      <c r="CT33" s="32"/>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Y33" s="1"/>
      <c r="EZ33" s="1"/>
      <c r="FA33" s="1"/>
    </row>
    <row r="34" spans="9:157" ht="15.75" customHeight="1" x14ac:dyDescent="0.25">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2"/>
      <c r="AW34" s="3"/>
      <c r="AX34" s="3"/>
      <c r="AY34" s="3"/>
      <c r="AZ34" s="3"/>
      <c r="BA34" s="3"/>
      <c r="BB34" s="2"/>
      <c r="BC34" s="3"/>
      <c r="BD34" s="3"/>
      <c r="BE34" s="3"/>
      <c r="BF34" s="3"/>
      <c r="BG34" s="3"/>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3"/>
      <c r="CH34" s="3"/>
      <c r="CI34" s="3"/>
      <c r="CJ34" s="3"/>
      <c r="CK34" s="3"/>
      <c r="CL34" s="3"/>
      <c r="CM34" s="3"/>
      <c r="CN34" s="3"/>
      <c r="CO34" s="3"/>
      <c r="CP34" s="3"/>
      <c r="CQ34" s="3"/>
      <c r="CR34" s="3"/>
      <c r="CS34" s="32"/>
      <c r="CT34" s="32"/>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Y34" s="1"/>
      <c r="EZ34" s="1"/>
      <c r="FA34" s="1"/>
    </row>
    <row r="35" spans="9:157" ht="15.75" customHeight="1" x14ac:dyDescent="0.25">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2"/>
      <c r="AW35" s="3"/>
      <c r="AX35" s="3"/>
      <c r="AY35" s="3"/>
      <c r="AZ35" s="3"/>
      <c r="BA35" s="3"/>
      <c r="BB35" s="2"/>
      <c r="BC35" s="3"/>
      <c r="BD35" s="3"/>
      <c r="BE35" s="3"/>
      <c r="BF35" s="3"/>
      <c r="BG35" s="3"/>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3"/>
      <c r="CH35" s="3"/>
      <c r="CI35" s="3"/>
      <c r="CJ35" s="3"/>
      <c r="CK35" s="3"/>
      <c r="CL35" s="3"/>
      <c r="CM35" s="3"/>
      <c r="CN35" s="3"/>
      <c r="CO35" s="3"/>
      <c r="CP35" s="3"/>
      <c r="CQ35" s="3"/>
      <c r="CR35" s="3"/>
      <c r="CS35" s="32"/>
      <c r="CT35" s="32"/>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Y35" s="1"/>
      <c r="EZ35" s="1"/>
      <c r="FA35" s="1"/>
    </row>
    <row r="36" spans="9:157" ht="15.75" customHeight="1" x14ac:dyDescent="0.25">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2"/>
      <c r="AW36" s="3"/>
      <c r="AX36" s="3"/>
      <c r="AY36" s="3"/>
      <c r="AZ36" s="3"/>
      <c r="BA36" s="3"/>
      <c r="BB36" s="2"/>
      <c r="BC36" s="3"/>
      <c r="BD36" s="3"/>
      <c r="BE36" s="3"/>
      <c r="BF36" s="3"/>
      <c r="BG36" s="3"/>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3"/>
      <c r="CH36" s="3"/>
      <c r="CI36" s="3"/>
      <c r="CJ36" s="3"/>
      <c r="CK36" s="3"/>
      <c r="CL36" s="3"/>
      <c r="CM36" s="3"/>
      <c r="CN36" s="3"/>
      <c r="CO36" s="3"/>
      <c r="CP36" s="3"/>
      <c r="CQ36" s="3"/>
      <c r="CR36" s="3"/>
      <c r="CS36" s="32"/>
      <c r="CT36" s="32"/>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Y36" s="1"/>
      <c r="EZ36" s="1"/>
      <c r="FA36" s="1"/>
    </row>
    <row r="37" spans="9:157" ht="15.75" customHeight="1" x14ac:dyDescent="0.25">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2"/>
      <c r="AW37" s="3"/>
      <c r="AX37" s="3"/>
      <c r="AY37" s="3"/>
      <c r="AZ37" s="3"/>
      <c r="BA37" s="3"/>
      <c r="BB37" s="2"/>
      <c r="BC37" s="3"/>
      <c r="BD37" s="3"/>
      <c r="BE37" s="3"/>
      <c r="BF37" s="3"/>
      <c r="BG37" s="3"/>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3"/>
      <c r="CH37" s="3"/>
      <c r="CI37" s="3"/>
      <c r="CJ37" s="3"/>
      <c r="CK37" s="3"/>
      <c r="CL37" s="3"/>
      <c r="CM37" s="3"/>
      <c r="CN37" s="3"/>
      <c r="CO37" s="3"/>
      <c r="CP37" s="3"/>
      <c r="CQ37" s="3"/>
      <c r="CR37" s="3"/>
      <c r="CS37" s="32"/>
      <c r="CT37" s="32"/>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Y37" s="1"/>
      <c r="EZ37" s="1"/>
      <c r="FA37" s="1"/>
    </row>
    <row r="38" spans="9:157" ht="15.75" customHeight="1" x14ac:dyDescent="0.25">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2"/>
      <c r="AW38" s="3"/>
      <c r="AX38" s="3"/>
      <c r="AY38" s="3"/>
      <c r="AZ38" s="3"/>
      <c r="BA38" s="3"/>
      <c r="BB38" s="2"/>
      <c r="BC38" s="3"/>
      <c r="BD38" s="3"/>
      <c r="BE38" s="3"/>
      <c r="BF38" s="3"/>
      <c r="BG38" s="3"/>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3"/>
      <c r="CH38" s="3"/>
      <c r="CI38" s="3"/>
      <c r="CJ38" s="3"/>
      <c r="CK38" s="3"/>
      <c r="CL38" s="3"/>
      <c r="CM38" s="3"/>
      <c r="CN38" s="3"/>
      <c r="CO38" s="3"/>
      <c r="CP38" s="3"/>
      <c r="CQ38" s="3"/>
      <c r="CR38" s="3"/>
      <c r="CS38" s="32"/>
      <c r="CT38" s="32"/>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Y38" s="1"/>
      <c r="EZ38" s="1"/>
      <c r="FA38" s="1"/>
    </row>
    <row r="39" spans="9:157" ht="15.75" customHeight="1" x14ac:dyDescent="0.25">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2"/>
      <c r="AW39" s="3"/>
      <c r="AX39" s="3"/>
      <c r="AY39" s="3"/>
      <c r="AZ39" s="3"/>
      <c r="BA39" s="3"/>
      <c r="BB39" s="2"/>
      <c r="BC39" s="3"/>
      <c r="BD39" s="3"/>
      <c r="BE39" s="3"/>
      <c r="BF39" s="3"/>
      <c r="BG39" s="3"/>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3"/>
      <c r="CH39" s="3"/>
      <c r="CI39" s="3"/>
      <c r="CJ39" s="3"/>
      <c r="CK39" s="3"/>
      <c r="CL39" s="3"/>
      <c r="CM39" s="3"/>
      <c r="CN39" s="3"/>
      <c r="CO39" s="3"/>
      <c r="CP39" s="3"/>
      <c r="CQ39" s="3"/>
      <c r="CR39" s="3"/>
      <c r="CS39" s="32"/>
      <c r="CT39" s="32"/>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Y39" s="1"/>
      <c r="EZ39" s="1"/>
      <c r="FA39" s="1"/>
    </row>
    <row r="40" spans="9:157" ht="15.75" customHeight="1" x14ac:dyDescent="0.25">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2"/>
      <c r="AW40" s="3"/>
      <c r="AX40" s="3"/>
      <c r="AY40" s="3"/>
      <c r="AZ40" s="3"/>
      <c r="BA40" s="3"/>
      <c r="BB40" s="2"/>
      <c r="BC40" s="3"/>
      <c r="BD40" s="3"/>
      <c r="BE40" s="3"/>
      <c r="BF40" s="3"/>
      <c r="BG40" s="3"/>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3"/>
      <c r="CH40" s="3"/>
      <c r="CI40" s="3"/>
      <c r="CJ40" s="3"/>
      <c r="CK40" s="3"/>
      <c r="CL40" s="3"/>
      <c r="CM40" s="3"/>
      <c r="CN40" s="3"/>
      <c r="CO40" s="3"/>
      <c r="CP40" s="3"/>
      <c r="CQ40" s="3"/>
      <c r="CR40" s="3"/>
      <c r="CS40" s="32"/>
      <c r="CT40" s="32"/>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Y40" s="1"/>
      <c r="EZ40" s="1"/>
      <c r="FA40" s="1"/>
    </row>
    <row r="41" spans="9:157" ht="15.75" customHeight="1" x14ac:dyDescent="0.25">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2"/>
      <c r="AW41" s="3"/>
      <c r="AX41" s="3"/>
      <c r="AY41" s="3"/>
      <c r="AZ41" s="3"/>
      <c r="BA41" s="3"/>
      <c r="BB41" s="2"/>
      <c r="BC41" s="3"/>
      <c r="BD41" s="3"/>
      <c r="BE41" s="3"/>
      <c r="BF41" s="3"/>
      <c r="BG41" s="3"/>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3"/>
      <c r="CH41" s="3"/>
      <c r="CI41" s="3"/>
      <c r="CJ41" s="3"/>
      <c r="CK41" s="3"/>
      <c r="CL41" s="3"/>
      <c r="CM41" s="3"/>
      <c r="CN41" s="3"/>
      <c r="CO41" s="3"/>
      <c r="CP41" s="3"/>
      <c r="CQ41" s="3"/>
      <c r="CR41" s="3"/>
      <c r="CS41" s="32"/>
      <c r="CT41" s="32"/>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Y41" s="1"/>
      <c r="EZ41" s="1"/>
      <c r="FA41" s="1"/>
    </row>
    <row r="42" spans="9:157" ht="15.75" customHeight="1" x14ac:dyDescent="0.25">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2"/>
      <c r="AW42" s="3"/>
      <c r="AX42" s="3"/>
      <c r="AY42" s="3"/>
      <c r="AZ42" s="3"/>
      <c r="BA42" s="3"/>
      <c r="BB42" s="2"/>
      <c r="BC42" s="3"/>
      <c r="BD42" s="3"/>
      <c r="BE42" s="3"/>
      <c r="BF42" s="3"/>
      <c r="BG42" s="3"/>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3"/>
      <c r="CH42" s="3"/>
      <c r="CI42" s="3"/>
      <c r="CJ42" s="3"/>
      <c r="CK42" s="3"/>
      <c r="CL42" s="3"/>
      <c r="CM42" s="3"/>
      <c r="CN42" s="3"/>
      <c r="CO42" s="3"/>
      <c r="CP42" s="3"/>
      <c r="CQ42" s="3"/>
      <c r="CR42" s="3"/>
      <c r="CS42" s="32"/>
      <c r="CT42" s="32"/>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Y42" s="1"/>
      <c r="EZ42" s="1"/>
      <c r="FA42" s="1"/>
    </row>
    <row r="43" spans="9:157" ht="15.75" customHeight="1" x14ac:dyDescent="0.25">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2"/>
      <c r="AW43" s="3"/>
      <c r="AX43" s="3"/>
      <c r="AY43" s="3"/>
      <c r="AZ43" s="3"/>
      <c r="BA43" s="3"/>
      <c r="BB43" s="2"/>
      <c r="BC43" s="3"/>
      <c r="BD43" s="3"/>
      <c r="BE43" s="3"/>
      <c r="BF43" s="3"/>
      <c r="BG43" s="3"/>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3"/>
      <c r="CH43" s="3"/>
      <c r="CI43" s="3"/>
      <c r="CJ43" s="3"/>
      <c r="CK43" s="3"/>
      <c r="CL43" s="3"/>
      <c r="CM43" s="3"/>
      <c r="CN43" s="3"/>
      <c r="CO43" s="3"/>
      <c r="CP43" s="3"/>
      <c r="CQ43" s="3"/>
      <c r="CR43" s="3"/>
      <c r="CS43" s="32"/>
      <c r="CT43" s="32"/>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Y43" s="1"/>
      <c r="EZ43" s="1"/>
      <c r="FA43" s="1"/>
    </row>
    <row r="44" spans="9:157" ht="15.75" customHeight="1" x14ac:dyDescent="0.25">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2"/>
      <c r="AW44" s="3"/>
      <c r="AX44" s="3"/>
      <c r="AY44" s="3"/>
      <c r="AZ44" s="3"/>
      <c r="BA44" s="3"/>
      <c r="BB44" s="2"/>
      <c r="BC44" s="3"/>
      <c r="BD44" s="3"/>
      <c r="BE44" s="3"/>
      <c r="BF44" s="3"/>
      <c r="BG44" s="3"/>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3"/>
      <c r="CH44" s="3"/>
      <c r="CI44" s="3"/>
      <c r="CJ44" s="3"/>
      <c r="CK44" s="3"/>
      <c r="CL44" s="3"/>
      <c r="CM44" s="3"/>
      <c r="CN44" s="3"/>
      <c r="CO44" s="3"/>
      <c r="CP44" s="3"/>
      <c r="CQ44" s="3"/>
      <c r="CR44" s="3"/>
      <c r="CS44" s="32"/>
      <c r="CT44" s="32"/>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Y44" s="1"/>
      <c r="EZ44" s="1"/>
      <c r="FA44" s="1"/>
    </row>
    <row r="45" spans="9:157" ht="15.75" customHeight="1" x14ac:dyDescent="0.25">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2"/>
      <c r="AW45" s="3"/>
      <c r="AX45" s="3"/>
      <c r="AY45" s="3"/>
      <c r="AZ45" s="3"/>
      <c r="BA45" s="3"/>
      <c r="BB45" s="2"/>
      <c r="BC45" s="3"/>
      <c r="BD45" s="3"/>
      <c r="BE45" s="3"/>
      <c r="BF45" s="3"/>
      <c r="BG45" s="3"/>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3"/>
      <c r="CH45" s="3"/>
      <c r="CI45" s="3"/>
      <c r="CJ45" s="3"/>
      <c r="CK45" s="3"/>
      <c r="CL45" s="3"/>
      <c r="CM45" s="3"/>
      <c r="CN45" s="3"/>
      <c r="CO45" s="3"/>
      <c r="CP45" s="3"/>
      <c r="CQ45" s="3"/>
      <c r="CR45" s="3"/>
      <c r="CS45" s="32"/>
      <c r="CT45" s="32"/>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Y45" s="1"/>
      <c r="EZ45" s="1"/>
      <c r="FA45" s="1"/>
    </row>
    <row r="46" spans="9:157" ht="15.75" customHeight="1" x14ac:dyDescent="0.25">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2"/>
      <c r="AW46" s="3"/>
      <c r="AX46" s="3"/>
      <c r="AY46" s="3"/>
      <c r="AZ46" s="3"/>
      <c r="BA46" s="3"/>
      <c r="BB46" s="2"/>
      <c r="BC46" s="3"/>
      <c r="BD46" s="3"/>
      <c r="BE46" s="3"/>
      <c r="BF46" s="3"/>
      <c r="BG46" s="3"/>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3"/>
      <c r="CH46" s="3"/>
      <c r="CI46" s="3"/>
      <c r="CJ46" s="3"/>
      <c r="CK46" s="3"/>
      <c r="CL46" s="3"/>
      <c r="CM46" s="3"/>
      <c r="CN46" s="3"/>
      <c r="CO46" s="3"/>
      <c r="CP46" s="3"/>
      <c r="CQ46" s="3"/>
      <c r="CR46" s="3"/>
      <c r="CS46" s="32"/>
      <c r="CT46" s="32"/>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Y46" s="1"/>
      <c r="EZ46" s="1"/>
      <c r="FA46" s="1"/>
    </row>
    <row r="47" spans="9:157" ht="15.75" customHeight="1" x14ac:dyDescent="0.25">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2"/>
      <c r="AW47" s="3"/>
      <c r="AX47" s="3"/>
      <c r="AY47" s="3"/>
      <c r="AZ47" s="3"/>
      <c r="BA47" s="3"/>
      <c r="BB47" s="2"/>
      <c r="BC47" s="3"/>
      <c r="BD47" s="3"/>
      <c r="BE47" s="3"/>
      <c r="BF47" s="3"/>
      <c r="BG47" s="3"/>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3"/>
      <c r="CH47" s="3"/>
      <c r="CI47" s="3"/>
      <c r="CJ47" s="3"/>
      <c r="CK47" s="3"/>
      <c r="CL47" s="3"/>
      <c r="CM47" s="3"/>
      <c r="CN47" s="3"/>
      <c r="CO47" s="3"/>
      <c r="CP47" s="3"/>
      <c r="CQ47" s="3"/>
      <c r="CR47" s="3"/>
      <c r="CS47" s="32"/>
      <c r="CT47" s="32"/>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Y47" s="1"/>
      <c r="EZ47" s="1"/>
      <c r="FA47" s="1"/>
    </row>
    <row r="48" spans="9:157" ht="15.75" customHeight="1" x14ac:dyDescent="0.25">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2"/>
      <c r="AW48" s="3"/>
      <c r="AX48" s="3"/>
      <c r="AY48" s="3"/>
      <c r="AZ48" s="3"/>
      <c r="BA48" s="3"/>
      <c r="BB48" s="2"/>
      <c r="BC48" s="3"/>
      <c r="BD48" s="3"/>
      <c r="BE48" s="3"/>
      <c r="BF48" s="3"/>
      <c r="BG48" s="3"/>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3"/>
      <c r="CH48" s="3"/>
      <c r="CI48" s="3"/>
      <c r="CJ48" s="3"/>
      <c r="CK48" s="3"/>
      <c r="CL48" s="3"/>
      <c r="CM48" s="3"/>
      <c r="CN48" s="3"/>
      <c r="CO48" s="3"/>
      <c r="CP48" s="3"/>
      <c r="CQ48" s="3"/>
      <c r="CR48" s="3"/>
      <c r="CS48" s="32"/>
      <c r="CT48" s="32"/>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Y48" s="1"/>
      <c r="EZ48" s="1"/>
      <c r="FA48" s="1"/>
    </row>
    <row r="49" spans="9:157" ht="15.75" customHeight="1" x14ac:dyDescent="0.25">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2"/>
      <c r="AW49" s="3"/>
      <c r="AX49" s="3"/>
      <c r="AY49" s="3"/>
      <c r="AZ49" s="3"/>
      <c r="BA49" s="3"/>
      <c r="BB49" s="2"/>
      <c r="BC49" s="3"/>
      <c r="BD49" s="3"/>
      <c r="BE49" s="3"/>
      <c r="BF49" s="3"/>
      <c r="BG49" s="3"/>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3"/>
      <c r="CH49" s="3"/>
      <c r="CI49" s="3"/>
      <c r="CJ49" s="3"/>
      <c r="CK49" s="3"/>
      <c r="CL49" s="3"/>
      <c r="CM49" s="3"/>
      <c r="CN49" s="3"/>
      <c r="CO49" s="3"/>
      <c r="CP49" s="3"/>
      <c r="CQ49" s="3"/>
      <c r="CR49" s="3"/>
      <c r="CS49" s="32"/>
      <c r="CT49" s="32"/>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Y49" s="1"/>
      <c r="EZ49" s="1"/>
      <c r="FA49" s="1"/>
    </row>
    <row r="50" spans="9:157" ht="15.75" customHeight="1" x14ac:dyDescent="0.25">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2"/>
      <c r="AW50" s="3"/>
      <c r="AX50" s="3"/>
      <c r="AY50" s="3"/>
      <c r="AZ50" s="3"/>
      <c r="BA50" s="3"/>
      <c r="BB50" s="2"/>
      <c r="BC50" s="3"/>
      <c r="BD50" s="3"/>
      <c r="BE50" s="3"/>
      <c r="BF50" s="3"/>
      <c r="BG50" s="3"/>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3"/>
      <c r="CH50" s="3"/>
      <c r="CI50" s="3"/>
      <c r="CJ50" s="3"/>
      <c r="CK50" s="3"/>
      <c r="CL50" s="3"/>
      <c r="CM50" s="3"/>
      <c r="CN50" s="3"/>
      <c r="CO50" s="3"/>
      <c r="CP50" s="3"/>
      <c r="CQ50" s="3"/>
      <c r="CR50" s="3"/>
      <c r="CS50" s="32"/>
      <c r="CT50" s="32"/>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Y50" s="1"/>
      <c r="EZ50" s="1"/>
      <c r="FA50" s="1"/>
    </row>
    <row r="51" spans="9:157" ht="15.75" customHeight="1" x14ac:dyDescent="0.25">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2"/>
      <c r="AW51" s="3"/>
      <c r="AX51" s="3"/>
      <c r="AY51" s="3"/>
      <c r="AZ51" s="3"/>
      <c r="BA51" s="3"/>
      <c r="BB51" s="2"/>
      <c r="BC51" s="3"/>
      <c r="BD51" s="3"/>
      <c r="BE51" s="3"/>
      <c r="BF51" s="3"/>
      <c r="BG51" s="3"/>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3"/>
      <c r="CH51" s="3"/>
      <c r="CI51" s="3"/>
      <c r="CJ51" s="3"/>
      <c r="CK51" s="3"/>
      <c r="CL51" s="3"/>
      <c r="CM51" s="3"/>
      <c r="CN51" s="3"/>
      <c r="CO51" s="3"/>
      <c r="CP51" s="3"/>
      <c r="CQ51" s="3"/>
      <c r="CR51" s="3"/>
      <c r="CS51" s="32"/>
      <c r="CT51" s="32"/>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Y51" s="1"/>
      <c r="EZ51" s="1"/>
      <c r="FA51" s="1"/>
    </row>
    <row r="52" spans="9:157" ht="15.75" customHeight="1" x14ac:dyDescent="0.25">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2"/>
      <c r="AW52" s="3"/>
      <c r="AX52" s="3"/>
      <c r="AY52" s="3"/>
      <c r="AZ52" s="3"/>
      <c r="BA52" s="3"/>
      <c r="BB52" s="2"/>
      <c r="BC52" s="3"/>
      <c r="BD52" s="3"/>
      <c r="BE52" s="3"/>
      <c r="BF52" s="3"/>
      <c r="BG52" s="3"/>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3"/>
      <c r="CH52" s="3"/>
      <c r="CI52" s="3"/>
      <c r="CJ52" s="3"/>
      <c r="CK52" s="3"/>
      <c r="CL52" s="3"/>
      <c r="CM52" s="3"/>
      <c r="CN52" s="3"/>
      <c r="CO52" s="3"/>
      <c r="CP52" s="3"/>
      <c r="CQ52" s="3"/>
      <c r="CR52" s="3"/>
      <c r="CS52" s="32"/>
      <c r="CT52" s="32"/>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Y52" s="1"/>
      <c r="EZ52" s="1"/>
      <c r="FA52" s="1"/>
    </row>
    <row r="53" spans="9:157" ht="15.75" customHeight="1" x14ac:dyDescent="0.25">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2"/>
      <c r="AW53" s="3"/>
      <c r="AX53" s="3"/>
      <c r="AY53" s="3"/>
      <c r="AZ53" s="3"/>
      <c r="BA53" s="3"/>
      <c r="BB53" s="2"/>
      <c r="BC53" s="3"/>
      <c r="BD53" s="3"/>
      <c r="BE53" s="3"/>
      <c r="BF53" s="3"/>
      <c r="BG53" s="3"/>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3"/>
      <c r="CH53" s="3"/>
      <c r="CI53" s="3"/>
      <c r="CJ53" s="3"/>
      <c r="CK53" s="3"/>
      <c r="CL53" s="3"/>
      <c r="CM53" s="3"/>
      <c r="CN53" s="3"/>
      <c r="CO53" s="3"/>
      <c r="CP53" s="3"/>
      <c r="CQ53" s="3"/>
      <c r="CR53" s="3"/>
      <c r="CS53" s="32"/>
      <c r="CT53" s="32"/>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Y53" s="1"/>
      <c r="EZ53" s="1"/>
      <c r="FA53" s="1"/>
    </row>
    <row r="54" spans="9:157" ht="15.75" customHeight="1" x14ac:dyDescent="0.25">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2"/>
      <c r="AW54" s="3"/>
      <c r="AX54" s="3"/>
      <c r="AY54" s="3"/>
      <c r="AZ54" s="3"/>
      <c r="BA54" s="3"/>
      <c r="BB54" s="2"/>
      <c r="BC54" s="3"/>
      <c r="BD54" s="3"/>
      <c r="BE54" s="3"/>
      <c r="BF54" s="3"/>
      <c r="BG54" s="3"/>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3"/>
      <c r="CH54" s="3"/>
      <c r="CI54" s="3"/>
      <c r="CJ54" s="3"/>
      <c r="CK54" s="3"/>
      <c r="CL54" s="3"/>
      <c r="CM54" s="3"/>
      <c r="CN54" s="3"/>
      <c r="CO54" s="3"/>
      <c r="CP54" s="3"/>
      <c r="CQ54" s="3"/>
      <c r="CR54" s="3"/>
      <c r="CS54" s="32"/>
      <c r="CT54" s="32"/>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Y54" s="1"/>
      <c r="EZ54" s="1"/>
      <c r="FA54" s="1"/>
    </row>
    <row r="55" spans="9:157" ht="15.75" customHeight="1" x14ac:dyDescent="0.25">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2"/>
      <c r="AW55" s="3"/>
      <c r="AX55" s="3"/>
      <c r="AY55" s="3"/>
      <c r="AZ55" s="3"/>
      <c r="BA55" s="3"/>
      <c r="BB55" s="2"/>
      <c r="BC55" s="3"/>
      <c r="BD55" s="3"/>
      <c r="BE55" s="3"/>
      <c r="BF55" s="3"/>
      <c r="BG55" s="3"/>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3"/>
      <c r="CH55" s="3"/>
      <c r="CI55" s="3"/>
      <c r="CJ55" s="3"/>
      <c r="CK55" s="3"/>
      <c r="CL55" s="3"/>
      <c r="CM55" s="3"/>
      <c r="CN55" s="3"/>
      <c r="CO55" s="3"/>
      <c r="CP55" s="3"/>
      <c r="CQ55" s="3"/>
      <c r="CR55" s="3"/>
      <c r="CS55" s="32"/>
      <c r="CT55" s="32"/>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Y55" s="1"/>
      <c r="EZ55" s="1"/>
      <c r="FA55" s="1"/>
    </row>
    <row r="56" spans="9:157" ht="15.75" customHeight="1" x14ac:dyDescent="0.25">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2"/>
      <c r="AW56" s="3"/>
      <c r="AX56" s="3"/>
      <c r="AY56" s="3"/>
      <c r="AZ56" s="3"/>
      <c r="BA56" s="3"/>
      <c r="BB56" s="2"/>
      <c r="BC56" s="3"/>
      <c r="BD56" s="3"/>
      <c r="BE56" s="3"/>
      <c r="BF56" s="3"/>
      <c r="BG56" s="3"/>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3"/>
      <c r="CH56" s="3"/>
      <c r="CI56" s="3"/>
      <c r="CJ56" s="3"/>
      <c r="CK56" s="3"/>
      <c r="CL56" s="3"/>
      <c r="CM56" s="3"/>
      <c r="CN56" s="3"/>
      <c r="CO56" s="3"/>
      <c r="CP56" s="3"/>
      <c r="CQ56" s="3"/>
      <c r="CR56" s="3"/>
      <c r="CS56" s="32"/>
      <c r="CT56" s="32"/>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Y56" s="1"/>
      <c r="EZ56" s="1"/>
      <c r="FA56" s="1"/>
    </row>
    <row r="57" spans="9:157" ht="15.75" customHeight="1" x14ac:dyDescent="0.25">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2"/>
      <c r="AW57" s="3"/>
      <c r="AX57" s="3"/>
      <c r="AY57" s="3"/>
      <c r="AZ57" s="3"/>
      <c r="BA57" s="3"/>
      <c r="BB57" s="2"/>
      <c r="BC57" s="3"/>
      <c r="BD57" s="3"/>
      <c r="BE57" s="3"/>
      <c r="BF57" s="3"/>
      <c r="BG57" s="3"/>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3"/>
      <c r="CH57" s="3"/>
      <c r="CI57" s="3"/>
      <c r="CJ57" s="3"/>
      <c r="CK57" s="3"/>
      <c r="CL57" s="3"/>
      <c r="CM57" s="3"/>
      <c r="CN57" s="3"/>
      <c r="CO57" s="3"/>
      <c r="CP57" s="3"/>
      <c r="CQ57" s="3"/>
      <c r="CR57" s="3"/>
      <c r="CS57" s="32"/>
      <c r="CT57" s="32"/>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Y57" s="1"/>
      <c r="EZ57" s="1"/>
      <c r="FA57" s="1"/>
    </row>
    <row r="58" spans="9:157" ht="15.75" customHeight="1" x14ac:dyDescent="0.25">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2"/>
      <c r="AW58" s="3"/>
      <c r="AX58" s="3"/>
      <c r="AY58" s="3"/>
      <c r="AZ58" s="3"/>
      <c r="BA58" s="3"/>
      <c r="BB58" s="2"/>
      <c r="BC58" s="3"/>
      <c r="BD58" s="3"/>
      <c r="BE58" s="3"/>
      <c r="BF58" s="3"/>
      <c r="BG58" s="3"/>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3"/>
      <c r="CH58" s="3"/>
      <c r="CI58" s="3"/>
      <c r="CJ58" s="3"/>
      <c r="CK58" s="3"/>
      <c r="CL58" s="3"/>
      <c r="CM58" s="3"/>
      <c r="CN58" s="3"/>
      <c r="CO58" s="3"/>
      <c r="CP58" s="3"/>
      <c r="CQ58" s="3"/>
      <c r="CR58" s="3"/>
      <c r="CS58" s="32"/>
      <c r="CT58" s="32"/>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Y58" s="1"/>
      <c r="EZ58" s="1"/>
      <c r="FA58" s="1"/>
    </row>
    <row r="59" spans="9:157" ht="15.75" customHeight="1" x14ac:dyDescent="0.25">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2"/>
      <c r="AW59" s="3"/>
      <c r="AX59" s="3"/>
      <c r="AY59" s="3"/>
      <c r="AZ59" s="3"/>
      <c r="BA59" s="3"/>
      <c r="BB59" s="2"/>
      <c r="BC59" s="3"/>
      <c r="BD59" s="3"/>
      <c r="BE59" s="3"/>
      <c r="BF59" s="3"/>
      <c r="BG59" s="3"/>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3"/>
      <c r="CH59" s="3"/>
      <c r="CI59" s="3"/>
      <c r="CJ59" s="3"/>
      <c r="CK59" s="3"/>
      <c r="CL59" s="3"/>
      <c r="CM59" s="3"/>
      <c r="CN59" s="3"/>
      <c r="CO59" s="3"/>
      <c r="CP59" s="3"/>
      <c r="CQ59" s="3"/>
      <c r="CR59" s="3"/>
      <c r="CS59" s="32"/>
      <c r="CT59" s="32"/>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Y59" s="1"/>
      <c r="EZ59" s="1"/>
      <c r="FA59" s="1"/>
    </row>
    <row r="60" spans="9:157" ht="15.75" customHeight="1" x14ac:dyDescent="0.25">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2"/>
      <c r="AW60" s="3"/>
      <c r="AX60" s="3"/>
      <c r="AY60" s="3"/>
      <c r="AZ60" s="3"/>
      <c r="BA60" s="3"/>
      <c r="BB60" s="2"/>
      <c r="BC60" s="3"/>
      <c r="BD60" s="3"/>
      <c r="BE60" s="3"/>
      <c r="BF60" s="3"/>
      <c r="BG60" s="3"/>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3"/>
      <c r="CH60" s="3"/>
      <c r="CI60" s="3"/>
      <c r="CJ60" s="3"/>
      <c r="CK60" s="3"/>
      <c r="CL60" s="3"/>
      <c r="CM60" s="3"/>
      <c r="CN60" s="3"/>
      <c r="CO60" s="3"/>
      <c r="CP60" s="3"/>
      <c r="CQ60" s="3"/>
      <c r="CR60" s="3"/>
      <c r="CS60" s="32"/>
      <c r="CT60" s="32"/>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Y60" s="1"/>
      <c r="EZ60" s="1"/>
      <c r="FA60" s="1"/>
    </row>
    <row r="61" spans="9:157" ht="15.75" customHeight="1" x14ac:dyDescent="0.25">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2"/>
      <c r="AW61" s="3"/>
      <c r="AX61" s="3"/>
      <c r="AY61" s="3"/>
      <c r="AZ61" s="3"/>
      <c r="BA61" s="3"/>
      <c r="BB61" s="2"/>
      <c r="BC61" s="3"/>
      <c r="BD61" s="3"/>
      <c r="BE61" s="3"/>
      <c r="BF61" s="3"/>
      <c r="BG61" s="3"/>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3"/>
      <c r="CH61" s="3"/>
      <c r="CI61" s="3"/>
      <c r="CJ61" s="3"/>
      <c r="CK61" s="3"/>
      <c r="CL61" s="3"/>
      <c r="CM61" s="3"/>
      <c r="CN61" s="3"/>
      <c r="CO61" s="3"/>
      <c r="CP61" s="3"/>
      <c r="CQ61" s="3"/>
      <c r="CR61" s="3"/>
      <c r="CS61" s="32"/>
      <c r="CT61" s="32"/>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Y61" s="1"/>
      <c r="EZ61" s="1"/>
      <c r="FA61" s="1"/>
    </row>
    <row r="62" spans="9:157" ht="15.75" customHeight="1" x14ac:dyDescent="0.25">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2"/>
      <c r="AW62" s="3"/>
      <c r="AX62" s="3"/>
      <c r="AY62" s="3"/>
      <c r="AZ62" s="3"/>
      <c r="BA62" s="3"/>
      <c r="BB62" s="2"/>
      <c r="BC62" s="3"/>
      <c r="BD62" s="3"/>
      <c r="BE62" s="3"/>
      <c r="BF62" s="3"/>
      <c r="BG62" s="3"/>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3"/>
      <c r="CH62" s="3"/>
      <c r="CI62" s="3"/>
      <c r="CJ62" s="3"/>
      <c r="CK62" s="3"/>
      <c r="CL62" s="3"/>
      <c r="CM62" s="3"/>
      <c r="CN62" s="3"/>
      <c r="CO62" s="3"/>
      <c r="CP62" s="3"/>
      <c r="CQ62" s="3"/>
      <c r="CR62" s="3"/>
      <c r="CS62" s="32"/>
      <c r="CT62" s="32"/>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Y62" s="1"/>
      <c r="EZ62" s="1"/>
      <c r="FA62" s="1"/>
    </row>
    <row r="63" spans="9:157" ht="15.75" customHeight="1" x14ac:dyDescent="0.25">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2"/>
      <c r="AW63" s="3"/>
      <c r="AX63" s="3"/>
      <c r="AY63" s="3"/>
      <c r="AZ63" s="3"/>
      <c r="BA63" s="3"/>
      <c r="BB63" s="2"/>
      <c r="BC63" s="3"/>
      <c r="BD63" s="3"/>
      <c r="BE63" s="3"/>
      <c r="BF63" s="3"/>
      <c r="BG63" s="3"/>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3"/>
      <c r="CH63" s="3"/>
      <c r="CI63" s="3"/>
      <c r="CJ63" s="3"/>
      <c r="CK63" s="3"/>
      <c r="CL63" s="3"/>
      <c r="CM63" s="3"/>
      <c r="CN63" s="3"/>
      <c r="CO63" s="3"/>
      <c r="CP63" s="3"/>
      <c r="CQ63" s="3"/>
      <c r="CR63" s="3"/>
      <c r="CS63" s="32"/>
      <c r="CT63" s="32"/>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Y63" s="1"/>
      <c r="EZ63" s="1"/>
      <c r="FA63" s="1"/>
    </row>
    <row r="64" spans="9:157" ht="15.75" customHeight="1" x14ac:dyDescent="0.25">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2"/>
      <c r="AW64" s="3"/>
      <c r="AX64" s="3"/>
      <c r="AY64" s="3"/>
      <c r="AZ64" s="3"/>
      <c r="BA64" s="3"/>
      <c r="BB64" s="2"/>
      <c r="BC64" s="3"/>
      <c r="BD64" s="3"/>
      <c r="BE64" s="3"/>
      <c r="BF64" s="3"/>
      <c r="BG64" s="3"/>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3"/>
      <c r="CH64" s="3"/>
      <c r="CI64" s="3"/>
      <c r="CJ64" s="3"/>
      <c r="CK64" s="3"/>
      <c r="CL64" s="3"/>
      <c r="CM64" s="3"/>
      <c r="CN64" s="3"/>
      <c r="CO64" s="3"/>
      <c r="CP64" s="3"/>
      <c r="CQ64" s="3"/>
      <c r="CR64" s="3"/>
      <c r="CS64" s="32"/>
      <c r="CT64" s="32"/>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Y64" s="1"/>
      <c r="EZ64" s="1"/>
      <c r="FA64" s="1"/>
    </row>
    <row r="65" spans="9:157" ht="15.75" customHeight="1" x14ac:dyDescent="0.25">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2"/>
      <c r="AW65" s="3"/>
      <c r="AX65" s="3"/>
      <c r="AY65" s="3"/>
      <c r="AZ65" s="3"/>
      <c r="BA65" s="3"/>
      <c r="BB65" s="2"/>
      <c r="BC65" s="3"/>
      <c r="BD65" s="3"/>
      <c r="BE65" s="3"/>
      <c r="BF65" s="3"/>
      <c r="BG65" s="3"/>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3"/>
      <c r="CH65" s="3"/>
      <c r="CI65" s="3"/>
      <c r="CJ65" s="3"/>
      <c r="CK65" s="3"/>
      <c r="CL65" s="3"/>
      <c r="CM65" s="3"/>
      <c r="CN65" s="3"/>
      <c r="CO65" s="3"/>
      <c r="CP65" s="3"/>
      <c r="CQ65" s="3"/>
      <c r="CR65" s="3"/>
      <c r="CS65" s="32"/>
      <c r="CT65" s="32"/>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Y65" s="1"/>
      <c r="EZ65" s="1"/>
      <c r="FA65" s="1"/>
    </row>
    <row r="66" spans="9:157" ht="15.75" customHeight="1" x14ac:dyDescent="0.25">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2"/>
      <c r="AW66" s="3"/>
      <c r="AX66" s="3"/>
      <c r="AY66" s="3"/>
      <c r="AZ66" s="3"/>
      <c r="BA66" s="3"/>
      <c r="BB66" s="2"/>
      <c r="BC66" s="3"/>
      <c r="BD66" s="3"/>
      <c r="BE66" s="3"/>
      <c r="BF66" s="3"/>
      <c r="BG66" s="3"/>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3"/>
      <c r="CH66" s="3"/>
      <c r="CI66" s="3"/>
      <c r="CJ66" s="3"/>
      <c r="CK66" s="3"/>
      <c r="CL66" s="3"/>
      <c r="CM66" s="3"/>
      <c r="CN66" s="3"/>
      <c r="CO66" s="3"/>
      <c r="CP66" s="3"/>
      <c r="CQ66" s="3"/>
      <c r="CR66" s="3"/>
      <c r="CS66" s="32"/>
      <c r="CT66" s="32"/>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Y66" s="1"/>
      <c r="EZ66" s="1"/>
      <c r="FA66" s="1"/>
    </row>
    <row r="67" spans="9:157" ht="15.75" customHeight="1" x14ac:dyDescent="0.25">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2"/>
      <c r="AW67" s="3"/>
      <c r="AX67" s="3"/>
      <c r="AY67" s="3"/>
      <c r="AZ67" s="3"/>
      <c r="BA67" s="3"/>
      <c r="BB67" s="2"/>
      <c r="BC67" s="3"/>
      <c r="BD67" s="3"/>
      <c r="BE67" s="3"/>
      <c r="BF67" s="3"/>
      <c r="BG67" s="3"/>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3"/>
      <c r="CH67" s="3"/>
      <c r="CI67" s="3"/>
      <c r="CJ67" s="3"/>
      <c r="CK67" s="3"/>
      <c r="CL67" s="3"/>
      <c r="CM67" s="3"/>
      <c r="CN67" s="3"/>
      <c r="CO67" s="3"/>
      <c r="CP67" s="3"/>
      <c r="CQ67" s="3"/>
      <c r="CR67" s="3"/>
      <c r="CS67" s="32"/>
      <c r="CT67" s="32"/>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Y67" s="1"/>
      <c r="EZ67" s="1"/>
      <c r="FA67" s="1"/>
    </row>
    <row r="68" spans="9:157" ht="15.75" customHeight="1" x14ac:dyDescent="0.25">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2"/>
      <c r="AW68" s="3"/>
      <c r="AX68" s="3"/>
      <c r="AY68" s="3"/>
      <c r="AZ68" s="3"/>
      <c r="BA68" s="3"/>
      <c r="BB68" s="2"/>
      <c r="BC68" s="3"/>
      <c r="BD68" s="3"/>
      <c r="BE68" s="3"/>
      <c r="BF68" s="3"/>
      <c r="BG68" s="3"/>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3"/>
      <c r="CH68" s="3"/>
      <c r="CI68" s="3"/>
      <c r="CJ68" s="3"/>
      <c r="CK68" s="3"/>
      <c r="CL68" s="3"/>
      <c r="CM68" s="3"/>
      <c r="CN68" s="3"/>
      <c r="CO68" s="3"/>
      <c r="CP68" s="3"/>
      <c r="CQ68" s="3"/>
      <c r="CR68" s="3"/>
      <c r="CS68" s="32"/>
      <c r="CT68" s="32"/>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Y68" s="1"/>
      <c r="EZ68" s="1"/>
      <c r="FA68" s="1"/>
    </row>
    <row r="69" spans="9:157" ht="15.75" customHeight="1" x14ac:dyDescent="0.25">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2"/>
      <c r="AW69" s="3"/>
      <c r="AX69" s="3"/>
      <c r="AY69" s="3"/>
      <c r="AZ69" s="3"/>
      <c r="BA69" s="3"/>
      <c r="BB69" s="2"/>
      <c r="BC69" s="3"/>
      <c r="BD69" s="3"/>
      <c r="BE69" s="3"/>
      <c r="BF69" s="3"/>
      <c r="BG69" s="3"/>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3"/>
      <c r="CH69" s="3"/>
      <c r="CI69" s="3"/>
      <c r="CJ69" s="3"/>
      <c r="CK69" s="3"/>
      <c r="CL69" s="3"/>
      <c r="CM69" s="3"/>
      <c r="CN69" s="3"/>
      <c r="CO69" s="3"/>
      <c r="CP69" s="3"/>
      <c r="CQ69" s="3"/>
      <c r="CR69" s="3"/>
      <c r="CS69" s="32"/>
      <c r="CT69" s="32"/>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Y69" s="1"/>
      <c r="EZ69" s="1"/>
      <c r="FA69" s="1"/>
    </row>
    <row r="70" spans="9:157" ht="15.75" customHeight="1" x14ac:dyDescent="0.25">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2"/>
      <c r="AW70" s="3"/>
      <c r="AX70" s="3"/>
      <c r="AY70" s="3"/>
      <c r="AZ70" s="3"/>
      <c r="BA70" s="3"/>
      <c r="BB70" s="2"/>
      <c r="BC70" s="3"/>
      <c r="BD70" s="3"/>
      <c r="BE70" s="3"/>
      <c r="BF70" s="3"/>
      <c r="BG70" s="3"/>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3"/>
      <c r="CH70" s="3"/>
      <c r="CI70" s="3"/>
      <c r="CJ70" s="3"/>
      <c r="CK70" s="3"/>
      <c r="CL70" s="3"/>
      <c r="CM70" s="3"/>
      <c r="CN70" s="3"/>
      <c r="CO70" s="3"/>
      <c r="CP70" s="3"/>
      <c r="CQ70" s="3"/>
      <c r="CR70" s="3"/>
      <c r="CS70" s="32"/>
      <c r="CT70" s="32"/>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Y70" s="1"/>
      <c r="EZ70" s="1"/>
      <c r="FA70" s="1"/>
    </row>
    <row r="71" spans="9:157" ht="15.75" customHeight="1" x14ac:dyDescent="0.25">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2"/>
      <c r="AW71" s="3"/>
      <c r="AX71" s="3"/>
      <c r="AY71" s="3"/>
      <c r="AZ71" s="3"/>
      <c r="BA71" s="3"/>
      <c r="BB71" s="2"/>
      <c r="BC71" s="3"/>
      <c r="BD71" s="3"/>
      <c r="BE71" s="3"/>
      <c r="BF71" s="3"/>
      <c r="BG71" s="3"/>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3"/>
      <c r="CH71" s="3"/>
      <c r="CI71" s="3"/>
      <c r="CJ71" s="3"/>
      <c r="CK71" s="3"/>
      <c r="CL71" s="3"/>
      <c r="CM71" s="3"/>
      <c r="CN71" s="3"/>
      <c r="CO71" s="3"/>
      <c r="CP71" s="3"/>
      <c r="CQ71" s="3"/>
      <c r="CR71" s="3"/>
      <c r="CS71" s="32"/>
      <c r="CT71" s="32"/>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Y71" s="1"/>
      <c r="EZ71" s="1"/>
      <c r="FA71" s="1"/>
    </row>
    <row r="72" spans="9:157" ht="15.75" customHeight="1" x14ac:dyDescent="0.25">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2"/>
      <c r="AW72" s="3"/>
      <c r="AX72" s="3"/>
      <c r="AY72" s="3"/>
      <c r="AZ72" s="3"/>
      <c r="BA72" s="3"/>
      <c r="BB72" s="2"/>
      <c r="BC72" s="3"/>
      <c r="BD72" s="3"/>
      <c r="BE72" s="3"/>
      <c r="BF72" s="3"/>
      <c r="BG72" s="3"/>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3"/>
      <c r="CH72" s="3"/>
      <c r="CI72" s="3"/>
      <c r="CJ72" s="3"/>
      <c r="CK72" s="3"/>
      <c r="CL72" s="3"/>
      <c r="CM72" s="3"/>
      <c r="CN72" s="3"/>
      <c r="CO72" s="3"/>
      <c r="CP72" s="3"/>
      <c r="CQ72" s="3"/>
      <c r="CR72" s="3"/>
      <c r="CS72" s="32"/>
      <c r="CT72" s="32"/>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Y72" s="1"/>
      <c r="EZ72" s="1"/>
      <c r="FA72" s="1"/>
    </row>
    <row r="73" spans="9:157" ht="15.75" customHeight="1" x14ac:dyDescent="0.25">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2"/>
      <c r="AW73" s="3"/>
      <c r="AX73" s="3"/>
      <c r="AY73" s="3"/>
      <c r="AZ73" s="3"/>
      <c r="BA73" s="3"/>
      <c r="BB73" s="2"/>
      <c r="BC73" s="3"/>
      <c r="BD73" s="3"/>
      <c r="BE73" s="3"/>
      <c r="BF73" s="3"/>
      <c r="BG73" s="3"/>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3"/>
      <c r="CH73" s="3"/>
      <c r="CI73" s="3"/>
      <c r="CJ73" s="3"/>
      <c r="CK73" s="3"/>
      <c r="CL73" s="3"/>
      <c r="CM73" s="3"/>
      <c r="CN73" s="3"/>
      <c r="CO73" s="3"/>
      <c r="CP73" s="3"/>
      <c r="CQ73" s="3"/>
      <c r="CR73" s="3"/>
      <c r="CS73" s="32"/>
      <c r="CT73" s="32"/>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Y73" s="1"/>
      <c r="EZ73" s="1"/>
      <c r="FA73" s="1"/>
    </row>
    <row r="74" spans="9:157" ht="15.75" customHeight="1" x14ac:dyDescent="0.25">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2"/>
      <c r="AW74" s="3"/>
      <c r="AX74" s="3"/>
      <c r="AY74" s="3"/>
      <c r="AZ74" s="3"/>
      <c r="BA74" s="3"/>
      <c r="BB74" s="2"/>
      <c r="BC74" s="3"/>
      <c r="BD74" s="3"/>
      <c r="BE74" s="3"/>
      <c r="BF74" s="3"/>
      <c r="BG74" s="3"/>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3"/>
      <c r="CH74" s="3"/>
      <c r="CI74" s="3"/>
      <c r="CJ74" s="3"/>
      <c r="CK74" s="3"/>
      <c r="CL74" s="3"/>
      <c r="CM74" s="3"/>
      <c r="CN74" s="3"/>
      <c r="CO74" s="3"/>
      <c r="CP74" s="3"/>
      <c r="CQ74" s="3"/>
      <c r="CR74" s="3"/>
      <c r="CS74" s="32"/>
      <c r="CT74" s="32"/>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Y74" s="1"/>
      <c r="EZ74" s="1"/>
      <c r="FA74" s="1"/>
    </row>
    <row r="75" spans="9:157" ht="15.75" customHeight="1" x14ac:dyDescent="0.25">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2"/>
      <c r="AW75" s="3"/>
      <c r="AX75" s="3"/>
      <c r="AY75" s="3"/>
      <c r="AZ75" s="3"/>
      <c r="BA75" s="3"/>
      <c r="BB75" s="2"/>
      <c r="BC75" s="3"/>
      <c r="BD75" s="3"/>
      <c r="BE75" s="3"/>
      <c r="BF75" s="3"/>
      <c r="BG75" s="3"/>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3"/>
      <c r="CH75" s="3"/>
      <c r="CI75" s="3"/>
      <c r="CJ75" s="3"/>
      <c r="CK75" s="3"/>
      <c r="CL75" s="3"/>
      <c r="CM75" s="3"/>
      <c r="CN75" s="3"/>
      <c r="CO75" s="3"/>
      <c r="CP75" s="3"/>
      <c r="CQ75" s="3"/>
      <c r="CR75" s="3"/>
      <c r="CS75" s="32"/>
      <c r="CT75" s="32"/>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Y75" s="1"/>
      <c r="EZ75" s="1"/>
      <c r="FA75" s="1"/>
    </row>
    <row r="76" spans="9:157" ht="15.75" customHeight="1" x14ac:dyDescent="0.25">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2"/>
      <c r="AW76" s="3"/>
      <c r="AX76" s="3"/>
      <c r="AY76" s="3"/>
      <c r="AZ76" s="3"/>
      <c r="BA76" s="3"/>
      <c r="BB76" s="2"/>
      <c r="BC76" s="3"/>
      <c r="BD76" s="3"/>
      <c r="BE76" s="3"/>
      <c r="BF76" s="3"/>
      <c r="BG76" s="3"/>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3"/>
      <c r="CH76" s="3"/>
      <c r="CI76" s="3"/>
      <c r="CJ76" s="3"/>
      <c r="CK76" s="3"/>
      <c r="CL76" s="3"/>
      <c r="CM76" s="3"/>
      <c r="CN76" s="3"/>
      <c r="CO76" s="3"/>
      <c r="CP76" s="3"/>
      <c r="CQ76" s="3"/>
      <c r="CR76" s="3"/>
      <c r="CS76" s="32"/>
      <c r="CT76" s="32"/>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Y76" s="1"/>
      <c r="EZ76" s="1"/>
      <c r="FA76" s="1"/>
    </row>
    <row r="77" spans="9:157" ht="15.75" customHeight="1" x14ac:dyDescent="0.25">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2"/>
      <c r="AW77" s="3"/>
      <c r="AX77" s="3"/>
      <c r="AY77" s="3"/>
      <c r="AZ77" s="3"/>
      <c r="BA77" s="3"/>
      <c r="BB77" s="2"/>
      <c r="BC77" s="3"/>
      <c r="BD77" s="3"/>
      <c r="BE77" s="3"/>
      <c r="BF77" s="3"/>
      <c r="BG77" s="3"/>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3"/>
      <c r="CH77" s="3"/>
      <c r="CI77" s="3"/>
      <c r="CJ77" s="3"/>
      <c r="CK77" s="3"/>
      <c r="CL77" s="3"/>
      <c r="CM77" s="3"/>
      <c r="CN77" s="3"/>
      <c r="CO77" s="3"/>
      <c r="CP77" s="3"/>
      <c r="CQ77" s="3"/>
      <c r="CR77" s="3"/>
      <c r="CS77" s="32"/>
      <c r="CT77" s="32"/>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Y77" s="1"/>
      <c r="EZ77" s="1"/>
      <c r="FA77" s="1"/>
    </row>
    <row r="78" spans="9:157" ht="15.75" customHeight="1" x14ac:dyDescent="0.25">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2"/>
      <c r="AW78" s="3"/>
      <c r="AX78" s="3"/>
      <c r="AY78" s="3"/>
      <c r="AZ78" s="3"/>
      <c r="BA78" s="3"/>
      <c r="BB78" s="2"/>
      <c r="BC78" s="3"/>
      <c r="BD78" s="3"/>
      <c r="BE78" s="3"/>
      <c r="BF78" s="3"/>
      <c r="BG78" s="3"/>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3"/>
      <c r="CH78" s="3"/>
      <c r="CI78" s="3"/>
      <c r="CJ78" s="3"/>
      <c r="CK78" s="3"/>
      <c r="CL78" s="3"/>
      <c r="CM78" s="3"/>
      <c r="CN78" s="3"/>
      <c r="CO78" s="3"/>
      <c r="CP78" s="3"/>
      <c r="CQ78" s="3"/>
      <c r="CR78" s="3"/>
      <c r="CS78" s="32"/>
      <c r="CT78" s="32"/>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Y78" s="1"/>
      <c r="EZ78" s="1"/>
      <c r="FA78" s="1"/>
    </row>
    <row r="79" spans="9:157" ht="15.75" customHeight="1" x14ac:dyDescent="0.25">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2"/>
      <c r="AW79" s="3"/>
      <c r="AX79" s="3"/>
      <c r="AY79" s="3"/>
      <c r="AZ79" s="3"/>
      <c r="BA79" s="3"/>
      <c r="BB79" s="2"/>
      <c r="BC79" s="3"/>
      <c r="BD79" s="3"/>
      <c r="BE79" s="3"/>
      <c r="BF79" s="3"/>
      <c r="BG79" s="3"/>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3"/>
      <c r="CH79" s="3"/>
      <c r="CI79" s="3"/>
      <c r="CJ79" s="3"/>
      <c r="CK79" s="3"/>
      <c r="CL79" s="3"/>
      <c r="CM79" s="3"/>
      <c r="CN79" s="3"/>
      <c r="CO79" s="3"/>
      <c r="CP79" s="3"/>
      <c r="CQ79" s="3"/>
      <c r="CR79" s="3"/>
      <c r="CS79" s="32"/>
      <c r="CT79" s="32"/>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Y79" s="1"/>
      <c r="EZ79" s="1"/>
      <c r="FA79" s="1"/>
    </row>
    <row r="80" spans="9:157" ht="15.75" customHeight="1" x14ac:dyDescent="0.25">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2"/>
      <c r="AW80" s="3"/>
      <c r="AX80" s="3"/>
      <c r="AY80" s="3"/>
      <c r="AZ80" s="3"/>
      <c r="BA80" s="3"/>
      <c r="BB80" s="2"/>
      <c r="BC80" s="3"/>
      <c r="BD80" s="3"/>
      <c r="BE80" s="3"/>
      <c r="BF80" s="3"/>
      <c r="BG80" s="3"/>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3"/>
      <c r="CH80" s="3"/>
      <c r="CI80" s="3"/>
      <c r="CJ80" s="3"/>
      <c r="CK80" s="3"/>
      <c r="CL80" s="3"/>
      <c r="CM80" s="3"/>
      <c r="CN80" s="3"/>
      <c r="CO80" s="3"/>
      <c r="CP80" s="3"/>
      <c r="CQ80" s="3"/>
      <c r="CR80" s="3"/>
      <c r="CS80" s="32"/>
      <c r="CT80" s="32"/>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Y80" s="1"/>
      <c r="EZ80" s="1"/>
      <c r="FA80" s="1"/>
    </row>
    <row r="81" spans="9:157" ht="15.75" customHeight="1" x14ac:dyDescent="0.25">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2"/>
      <c r="AW81" s="3"/>
      <c r="AX81" s="3"/>
      <c r="AY81" s="3"/>
      <c r="AZ81" s="3"/>
      <c r="BA81" s="3"/>
      <c r="BB81" s="2"/>
      <c r="BC81" s="3"/>
      <c r="BD81" s="3"/>
      <c r="BE81" s="3"/>
      <c r="BF81" s="3"/>
      <c r="BG81" s="3"/>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3"/>
      <c r="CH81" s="3"/>
      <c r="CI81" s="3"/>
      <c r="CJ81" s="3"/>
      <c r="CK81" s="3"/>
      <c r="CL81" s="3"/>
      <c r="CM81" s="3"/>
      <c r="CN81" s="3"/>
      <c r="CO81" s="3"/>
      <c r="CP81" s="3"/>
      <c r="CQ81" s="3"/>
      <c r="CR81" s="3"/>
      <c r="CS81" s="32"/>
      <c r="CT81" s="32"/>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Y81" s="1"/>
      <c r="EZ81" s="1"/>
      <c r="FA81" s="1"/>
    </row>
    <row r="82" spans="9:157" ht="15.75" customHeight="1" x14ac:dyDescent="0.25">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2"/>
      <c r="AW82" s="3"/>
      <c r="AX82" s="3"/>
      <c r="AY82" s="3"/>
      <c r="AZ82" s="3"/>
      <c r="BA82" s="3"/>
      <c r="BB82" s="2"/>
      <c r="BC82" s="3"/>
      <c r="BD82" s="3"/>
      <c r="BE82" s="3"/>
      <c r="BF82" s="3"/>
      <c r="BG82" s="3"/>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3"/>
      <c r="CH82" s="3"/>
      <c r="CI82" s="3"/>
      <c r="CJ82" s="3"/>
      <c r="CK82" s="3"/>
      <c r="CL82" s="3"/>
      <c r="CM82" s="3"/>
      <c r="CN82" s="3"/>
      <c r="CO82" s="3"/>
      <c r="CP82" s="3"/>
      <c r="CQ82" s="3"/>
      <c r="CR82" s="3"/>
      <c r="CS82" s="32"/>
      <c r="CT82" s="32"/>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Y82" s="1"/>
      <c r="EZ82" s="1"/>
      <c r="FA82" s="1"/>
    </row>
    <row r="83" spans="9:157" ht="15.75" customHeight="1" x14ac:dyDescent="0.25">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2"/>
      <c r="AW83" s="3"/>
      <c r="AX83" s="3"/>
      <c r="AY83" s="3"/>
      <c r="AZ83" s="3"/>
      <c r="BA83" s="3"/>
      <c r="BB83" s="2"/>
      <c r="BC83" s="3"/>
      <c r="BD83" s="3"/>
      <c r="BE83" s="3"/>
      <c r="BF83" s="3"/>
      <c r="BG83" s="3"/>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3"/>
      <c r="CH83" s="3"/>
      <c r="CI83" s="3"/>
      <c r="CJ83" s="3"/>
      <c r="CK83" s="3"/>
      <c r="CL83" s="3"/>
      <c r="CM83" s="3"/>
      <c r="CN83" s="3"/>
      <c r="CO83" s="3"/>
      <c r="CP83" s="3"/>
      <c r="CQ83" s="3"/>
      <c r="CR83" s="3"/>
      <c r="CS83" s="32"/>
      <c r="CT83" s="32"/>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Y83" s="1"/>
      <c r="EZ83" s="1"/>
      <c r="FA83" s="1"/>
    </row>
    <row r="84" spans="9:157" ht="15.75" customHeight="1" x14ac:dyDescent="0.25">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2"/>
      <c r="AW84" s="3"/>
      <c r="AX84" s="3"/>
      <c r="AY84" s="3"/>
      <c r="AZ84" s="3"/>
      <c r="BA84" s="3"/>
      <c r="BB84" s="2"/>
      <c r="BC84" s="3"/>
      <c r="BD84" s="3"/>
      <c r="BE84" s="3"/>
      <c r="BF84" s="3"/>
      <c r="BG84" s="3"/>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3"/>
      <c r="CH84" s="3"/>
      <c r="CI84" s="3"/>
      <c r="CJ84" s="3"/>
      <c r="CK84" s="3"/>
      <c r="CL84" s="3"/>
      <c r="CM84" s="3"/>
      <c r="CN84" s="3"/>
      <c r="CO84" s="3"/>
      <c r="CP84" s="3"/>
      <c r="CQ84" s="3"/>
      <c r="CR84" s="3"/>
      <c r="CS84" s="32"/>
      <c r="CT84" s="32"/>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Y84" s="1"/>
      <c r="EZ84" s="1"/>
      <c r="FA84" s="1"/>
    </row>
    <row r="85" spans="9:157" ht="15.75" customHeight="1" x14ac:dyDescent="0.25">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2"/>
      <c r="AW85" s="3"/>
      <c r="AX85" s="3"/>
      <c r="AY85" s="3"/>
      <c r="AZ85" s="3"/>
      <c r="BA85" s="3"/>
      <c r="BB85" s="2"/>
      <c r="BC85" s="3"/>
      <c r="BD85" s="3"/>
      <c r="BE85" s="3"/>
      <c r="BF85" s="3"/>
      <c r="BG85" s="3"/>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3"/>
      <c r="CH85" s="3"/>
      <c r="CI85" s="3"/>
      <c r="CJ85" s="3"/>
      <c r="CK85" s="3"/>
      <c r="CL85" s="3"/>
      <c r="CM85" s="3"/>
      <c r="CN85" s="3"/>
      <c r="CO85" s="3"/>
      <c r="CP85" s="3"/>
      <c r="CQ85" s="3"/>
      <c r="CR85" s="3"/>
      <c r="CS85" s="32"/>
      <c r="CT85" s="32"/>
      <c r="CU85" s="3"/>
      <c r="CV85" s="3"/>
      <c r="CW85" s="3"/>
      <c r="CX85" s="3"/>
      <c r="CY85" s="3"/>
      <c r="CZ85" s="3"/>
      <c r="DA85" s="3"/>
      <c r="DB85" s="3"/>
      <c r="DC85" s="3"/>
      <c r="DD85" s="3"/>
      <c r="DE85" s="3"/>
      <c r="DF85" s="3"/>
      <c r="DG85" s="3"/>
      <c r="DH85" s="3"/>
      <c r="DI85" s="3"/>
      <c r="DJ85" s="3"/>
      <c r="DK85" s="3"/>
      <c r="DL85" s="3"/>
      <c r="DM85" s="3"/>
      <c r="DN85" s="3"/>
      <c r="DO85" s="3"/>
      <c r="DP85" s="3"/>
      <c r="DQ85" s="3"/>
      <c r="DR85" s="3"/>
      <c r="DS85" s="3"/>
      <c r="DT85" s="3"/>
      <c r="DU85" s="3"/>
      <c r="DV85" s="3"/>
      <c r="DW85" s="3"/>
      <c r="DX85" s="3"/>
      <c r="DY85" s="3"/>
      <c r="DZ85" s="3"/>
      <c r="EA85" s="3"/>
      <c r="EB85" s="3"/>
      <c r="EC85" s="3"/>
      <c r="ED85" s="3"/>
      <c r="EE85" s="3"/>
      <c r="EF85" s="3"/>
      <c r="EG85" s="3"/>
      <c r="EH85" s="3"/>
      <c r="EI85" s="3"/>
      <c r="EJ85" s="3"/>
      <c r="EK85" s="3"/>
      <c r="EL85" s="3"/>
      <c r="EM85" s="3"/>
      <c r="EN85" s="3"/>
      <c r="EO85" s="3"/>
      <c r="EP85" s="3"/>
      <c r="EQ85" s="3"/>
      <c r="ER85" s="3"/>
      <c r="ES85" s="3"/>
      <c r="EY85" s="1"/>
      <c r="EZ85" s="1"/>
      <c r="FA85" s="1"/>
    </row>
    <row r="86" spans="9:157" ht="15.75" customHeight="1" x14ac:dyDescent="0.25">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2"/>
      <c r="AW86" s="3"/>
      <c r="AX86" s="3"/>
      <c r="AY86" s="3"/>
      <c r="AZ86" s="3"/>
      <c r="BA86" s="3"/>
      <c r="BB86" s="2"/>
      <c r="BC86" s="3"/>
      <c r="BD86" s="3"/>
      <c r="BE86" s="3"/>
      <c r="BF86" s="3"/>
      <c r="BG86" s="3"/>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3"/>
      <c r="CH86" s="3"/>
      <c r="CI86" s="3"/>
      <c r="CJ86" s="3"/>
      <c r="CK86" s="3"/>
      <c r="CL86" s="3"/>
      <c r="CM86" s="3"/>
      <c r="CN86" s="3"/>
      <c r="CO86" s="3"/>
      <c r="CP86" s="3"/>
      <c r="CQ86" s="3"/>
      <c r="CR86" s="3"/>
      <c r="CS86" s="32"/>
      <c r="CT86" s="32"/>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Y86" s="1"/>
      <c r="EZ86" s="1"/>
      <c r="FA86" s="1"/>
    </row>
    <row r="87" spans="9:157" ht="15.75" customHeight="1" x14ac:dyDescent="0.25">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2"/>
      <c r="AW87" s="3"/>
      <c r="AX87" s="3"/>
      <c r="AY87" s="3"/>
      <c r="AZ87" s="3"/>
      <c r="BA87" s="3"/>
      <c r="BB87" s="2"/>
      <c r="BC87" s="3"/>
      <c r="BD87" s="3"/>
      <c r="BE87" s="3"/>
      <c r="BF87" s="3"/>
      <c r="BG87" s="3"/>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3"/>
      <c r="CH87" s="3"/>
      <c r="CI87" s="3"/>
      <c r="CJ87" s="3"/>
      <c r="CK87" s="3"/>
      <c r="CL87" s="3"/>
      <c r="CM87" s="3"/>
      <c r="CN87" s="3"/>
      <c r="CO87" s="3"/>
      <c r="CP87" s="3"/>
      <c r="CQ87" s="3"/>
      <c r="CR87" s="3"/>
      <c r="CS87" s="32"/>
      <c r="CT87" s="32"/>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Y87" s="1"/>
      <c r="EZ87" s="1"/>
      <c r="FA87" s="1"/>
    </row>
    <row r="88" spans="9:157" ht="15.75" customHeight="1" x14ac:dyDescent="0.25">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2"/>
      <c r="AW88" s="3"/>
      <c r="AX88" s="3"/>
      <c r="AY88" s="3"/>
      <c r="AZ88" s="3"/>
      <c r="BA88" s="3"/>
      <c r="BB88" s="2"/>
      <c r="BC88" s="3"/>
      <c r="BD88" s="3"/>
      <c r="BE88" s="3"/>
      <c r="BF88" s="3"/>
      <c r="BG88" s="3"/>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3"/>
      <c r="CH88" s="3"/>
      <c r="CI88" s="3"/>
      <c r="CJ88" s="3"/>
      <c r="CK88" s="3"/>
      <c r="CL88" s="3"/>
      <c r="CM88" s="3"/>
      <c r="CN88" s="3"/>
      <c r="CO88" s="3"/>
      <c r="CP88" s="3"/>
      <c r="CQ88" s="3"/>
      <c r="CR88" s="3"/>
      <c r="CS88" s="32"/>
      <c r="CT88" s="32"/>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Y88" s="1"/>
      <c r="EZ88" s="1"/>
      <c r="FA88" s="1"/>
    </row>
    <row r="89" spans="9:157" ht="15.75" customHeight="1" x14ac:dyDescent="0.25">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2"/>
      <c r="AW89" s="3"/>
      <c r="AX89" s="3"/>
      <c r="AY89" s="3"/>
      <c r="AZ89" s="3"/>
      <c r="BA89" s="3"/>
      <c r="BB89" s="2"/>
      <c r="BC89" s="3"/>
      <c r="BD89" s="3"/>
      <c r="BE89" s="3"/>
      <c r="BF89" s="3"/>
      <c r="BG89" s="3"/>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3"/>
      <c r="CH89" s="3"/>
      <c r="CI89" s="3"/>
      <c r="CJ89" s="3"/>
      <c r="CK89" s="3"/>
      <c r="CL89" s="3"/>
      <c r="CM89" s="3"/>
      <c r="CN89" s="3"/>
      <c r="CO89" s="3"/>
      <c r="CP89" s="3"/>
      <c r="CQ89" s="3"/>
      <c r="CR89" s="3"/>
      <c r="CS89" s="32"/>
      <c r="CT89" s="32"/>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Y89" s="1"/>
      <c r="EZ89" s="1"/>
      <c r="FA89" s="1"/>
    </row>
    <row r="90" spans="9:157" ht="15.75" customHeight="1" x14ac:dyDescent="0.25">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2"/>
      <c r="AW90" s="3"/>
      <c r="AX90" s="3"/>
      <c r="AY90" s="3"/>
      <c r="AZ90" s="3"/>
      <c r="BA90" s="3"/>
      <c r="BB90" s="2"/>
      <c r="BC90" s="3"/>
      <c r="BD90" s="3"/>
      <c r="BE90" s="3"/>
      <c r="BF90" s="3"/>
      <c r="BG90" s="3"/>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3"/>
      <c r="CH90" s="3"/>
      <c r="CI90" s="3"/>
      <c r="CJ90" s="3"/>
      <c r="CK90" s="3"/>
      <c r="CL90" s="3"/>
      <c r="CM90" s="3"/>
      <c r="CN90" s="3"/>
      <c r="CO90" s="3"/>
      <c r="CP90" s="3"/>
      <c r="CQ90" s="3"/>
      <c r="CR90" s="3"/>
      <c r="CS90" s="32"/>
      <c r="CT90" s="32"/>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Y90" s="1"/>
      <c r="EZ90" s="1"/>
      <c r="FA90" s="1"/>
    </row>
    <row r="91" spans="9:157" ht="15.75" customHeight="1" x14ac:dyDescent="0.25">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2"/>
      <c r="AW91" s="3"/>
      <c r="AX91" s="3"/>
      <c r="AY91" s="3"/>
      <c r="AZ91" s="3"/>
      <c r="BA91" s="3"/>
      <c r="BB91" s="2"/>
      <c r="BC91" s="3"/>
      <c r="BD91" s="3"/>
      <c r="BE91" s="3"/>
      <c r="BF91" s="3"/>
      <c r="BG91" s="3"/>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3"/>
      <c r="CH91" s="3"/>
      <c r="CI91" s="3"/>
      <c r="CJ91" s="3"/>
      <c r="CK91" s="3"/>
      <c r="CL91" s="3"/>
      <c r="CM91" s="3"/>
      <c r="CN91" s="3"/>
      <c r="CO91" s="3"/>
      <c r="CP91" s="3"/>
      <c r="CQ91" s="3"/>
      <c r="CR91" s="3"/>
      <c r="CS91" s="32"/>
      <c r="CT91" s="32"/>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Y91" s="1"/>
      <c r="EZ91" s="1"/>
      <c r="FA91" s="1"/>
    </row>
    <row r="92" spans="9:157" ht="15.75" customHeight="1" x14ac:dyDescent="0.25">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2"/>
      <c r="AW92" s="3"/>
      <c r="AX92" s="3"/>
      <c r="AY92" s="3"/>
      <c r="AZ92" s="3"/>
      <c r="BA92" s="3"/>
      <c r="BB92" s="2"/>
      <c r="BC92" s="3"/>
      <c r="BD92" s="3"/>
      <c r="BE92" s="3"/>
      <c r="BF92" s="3"/>
      <c r="BG92" s="3"/>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3"/>
      <c r="CH92" s="3"/>
      <c r="CI92" s="3"/>
      <c r="CJ92" s="3"/>
      <c r="CK92" s="3"/>
      <c r="CL92" s="3"/>
      <c r="CM92" s="3"/>
      <c r="CN92" s="3"/>
      <c r="CO92" s="3"/>
      <c r="CP92" s="3"/>
      <c r="CQ92" s="3"/>
      <c r="CR92" s="3"/>
      <c r="CS92" s="32"/>
      <c r="CT92" s="32"/>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Y92" s="1"/>
      <c r="EZ92" s="1"/>
      <c r="FA92" s="1"/>
    </row>
    <row r="93" spans="9:157" ht="15.75" customHeight="1" x14ac:dyDescent="0.25">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2"/>
      <c r="AW93" s="3"/>
      <c r="AX93" s="3"/>
      <c r="AY93" s="3"/>
      <c r="AZ93" s="3"/>
      <c r="BA93" s="3"/>
      <c r="BB93" s="2"/>
      <c r="BC93" s="3"/>
      <c r="BD93" s="3"/>
      <c r="BE93" s="3"/>
      <c r="BF93" s="3"/>
      <c r="BG93" s="3"/>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3"/>
      <c r="CH93" s="3"/>
      <c r="CI93" s="3"/>
      <c r="CJ93" s="3"/>
      <c r="CK93" s="3"/>
      <c r="CL93" s="3"/>
      <c r="CM93" s="3"/>
      <c r="CN93" s="3"/>
      <c r="CO93" s="3"/>
      <c r="CP93" s="3"/>
      <c r="CQ93" s="3"/>
      <c r="CR93" s="3"/>
      <c r="CS93" s="32"/>
      <c r="CT93" s="32"/>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Y93" s="1"/>
      <c r="EZ93" s="1"/>
      <c r="FA93" s="1"/>
    </row>
    <row r="94" spans="9:157" ht="15.75" customHeight="1" x14ac:dyDescent="0.25">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2"/>
      <c r="AW94" s="3"/>
      <c r="AX94" s="3"/>
      <c r="AY94" s="3"/>
      <c r="AZ94" s="3"/>
      <c r="BA94" s="3"/>
      <c r="BB94" s="2"/>
      <c r="BC94" s="3"/>
      <c r="BD94" s="3"/>
      <c r="BE94" s="3"/>
      <c r="BF94" s="3"/>
      <c r="BG94" s="3"/>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3"/>
      <c r="CH94" s="3"/>
      <c r="CI94" s="3"/>
      <c r="CJ94" s="3"/>
      <c r="CK94" s="3"/>
      <c r="CL94" s="3"/>
      <c r="CM94" s="3"/>
      <c r="CN94" s="3"/>
      <c r="CO94" s="3"/>
      <c r="CP94" s="3"/>
      <c r="CQ94" s="3"/>
      <c r="CR94" s="3"/>
      <c r="CS94" s="32"/>
      <c r="CT94" s="32"/>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Y94" s="1"/>
      <c r="EZ94" s="1"/>
      <c r="FA94" s="1"/>
    </row>
    <row r="95" spans="9:157" ht="15.75" customHeight="1" x14ac:dyDescent="0.25">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2"/>
      <c r="AW95" s="3"/>
      <c r="AX95" s="3"/>
      <c r="AY95" s="3"/>
      <c r="AZ95" s="3"/>
      <c r="BA95" s="3"/>
      <c r="BB95" s="2"/>
      <c r="BC95" s="3"/>
      <c r="BD95" s="3"/>
      <c r="BE95" s="3"/>
      <c r="BF95" s="3"/>
      <c r="BG95" s="3"/>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3"/>
      <c r="CH95" s="3"/>
      <c r="CI95" s="3"/>
      <c r="CJ95" s="3"/>
      <c r="CK95" s="3"/>
      <c r="CL95" s="3"/>
      <c r="CM95" s="3"/>
      <c r="CN95" s="3"/>
      <c r="CO95" s="3"/>
      <c r="CP95" s="3"/>
      <c r="CQ95" s="3"/>
      <c r="CR95" s="3"/>
      <c r="CS95" s="32"/>
      <c r="CT95" s="32"/>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Y95" s="1"/>
      <c r="EZ95" s="1"/>
      <c r="FA95" s="1"/>
    </row>
    <row r="96" spans="9:157" ht="15.75" customHeight="1" x14ac:dyDescent="0.25">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2"/>
      <c r="AW96" s="3"/>
      <c r="AX96" s="3"/>
      <c r="AY96" s="3"/>
      <c r="AZ96" s="3"/>
      <c r="BA96" s="3"/>
      <c r="BB96" s="2"/>
      <c r="BC96" s="3"/>
      <c r="BD96" s="3"/>
      <c r="BE96" s="3"/>
      <c r="BF96" s="3"/>
      <c r="BG96" s="3"/>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3"/>
      <c r="CH96" s="3"/>
      <c r="CI96" s="3"/>
      <c r="CJ96" s="3"/>
      <c r="CK96" s="3"/>
      <c r="CL96" s="3"/>
      <c r="CM96" s="3"/>
      <c r="CN96" s="3"/>
      <c r="CO96" s="3"/>
      <c r="CP96" s="3"/>
      <c r="CQ96" s="3"/>
      <c r="CR96" s="3"/>
      <c r="CS96" s="32"/>
      <c r="CT96" s="32"/>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Y96" s="1"/>
      <c r="EZ96" s="1"/>
      <c r="FA96" s="1"/>
    </row>
    <row r="97" spans="9:157" ht="15.75" customHeight="1" x14ac:dyDescent="0.25">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2"/>
      <c r="AW97" s="3"/>
      <c r="AX97" s="3"/>
      <c r="AY97" s="3"/>
      <c r="AZ97" s="3"/>
      <c r="BA97" s="3"/>
      <c r="BB97" s="2"/>
      <c r="BC97" s="3"/>
      <c r="BD97" s="3"/>
      <c r="BE97" s="3"/>
      <c r="BF97" s="3"/>
      <c r="BG97" s="3"/>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3"/>
      <c r="CH97" s="3"/>
      <c r="CI97" s="3"/>
      <c r="CJ97" s="3"/>
      <c r="CK97" s="3"/>
      <c r="CL97" s="3"/>
      <c r="CM97" s="3"/>
      <c r="CN97" s="3"/>
      <c r="CO97" s="3"/>
      <c r="CP97" s="3"/>
      <c r="CQ97" s="3"/>
      <c r="CR97" s="3"/>
      <c r="CS97" s="32"/>
      <c r="CT97" s="32"/>
      <c r="CU97" s="3"/>
      <c r="CV97" s="3"/>
      <c r="CW97" s="3"/>
      <c r="CX97" s="3"/>
      <c r="CY97" s="3"/>
      <c r="CZ97" s="3"/>
      <c r="DA97" s="3"/>
      <c r="DB97" s="3"/>
      <c r="DC97" s="3"/>
      <c r="DD97" s="3"/>
      <c r="DE97" s="3"/>
      <c r="DF97" s="3"/>
      <c r="DG97" s="3"/>
      <c r="DH97" s="3"/>
      <c r="DI97" s="3"/>
      <c r="DJ97" s="3"/>
      <c r="DK97" s="3"/>
      <c r="DL97" s="3"/>
      <c r="DM97" s="3"/>
      <c r="DN97" s="3"/>
      <c r="DO97" s="3"/>
      <c r="DP97" s="3"/>
      <c r="DQ97" s="3"/>
      <c r="DR97" s="3"/>
      <c r="DS97" s="3"/>
      <c r="DT97" s="3"/>
      <c r="DU97" s="3"/>
      <c r="DV97" s="3"/>
      <c r="DW97" s="3"/>
      <c r="DX97" s="3"/>
      <c r="DY97" s="3"/>
      <c r="DZ97" s="3"/>
      <c r="EA97" s="3"/>
      <c r="EB97" s="3"/>
      <c r="EC97" s="3"/>
      <c r="ED97" s="3"/>
      <c r="EE97" s="3"/>
      <c r="EF97" s="3"/>
      <c r="EG97" s="3"/>
      <c r="EH97" s="3"/>
      <c r="EI97" s="3"/>
      <c r="EJ97" s="3"/>
      <c r="EK97" s="3"/>
      <c r="EL97" s="3"/>
      <c r="EM97" s="3"/>
      <c r="EN97" s="3"/>
      <c r="EO97" s="3"/>
      <c r="EP97" s="3"/>
      <c r="EQ97" s="3"/>
      <c r="ER97" s="3"/>
      <c r="ES97" s="3"/>
      <c r="EY97" s="1"/>
      <c r="EZ97" s="1"/>
      <c r="FA97" s="1"/>
    </row>
    <row r="98" spans="9:157" ht="15.75" customHeight="1" x14ac:dyDescent="0.25">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2"/>
      <c r="AW98" s="3"/>
      <c r="AX98" s="3"/>
      <c r="AY98" s="3"/>
      <c r="AZ98" s="3"/>
      <c r="BA98" s="3"/>
      <c r="BB98" s="2"/>
      <c r="BC98" s="3"/>
      <c r="BD98" s="3"/>
      <c r="BE98" s="3"/>
      <c r="BF98" s="3"/>
      <c r="BG98" s="3"/>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3"/>
      <c r="CH98" s="3"/>
      <c r="CI98" s="3"/>
      <c r="CJ98" s="3"/>
      <c r="CK98" s="3"/>
      <c r="CL98" s="3"/>
      <c r="CM98" s="3"/>
      <c r="CN98" s="3"/>
      <c r="CO98" s="3"/>
      <c r="CP98" s="3"/>
      <c r="CQ98" s="3"/>
      <c r="CR98" s="3"/>
      <c r="CS98" s="32"/>
      <c r="CT98" s="32"/>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Y98" s="1"/>
      <c r="EZ98" s="1"/>
      <c r="FA98" s="1"/>
    </row>
    <row r="99" spans="9:157" ht="15.75" customHeight="1" x14ac:dyDescent="0.25">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2"/>
      <c r="AW99" s="3"/>
      <c r="AX99" s="3"/>
      <c r="AY99" s="3"/>
      <c r="AZ99" s="3"/>
      <c r="BA99" s="3"/>
      <c r="BB99" s="2"/>
      <c r="BC99" s="3"/>
      <c r="BD99" s="3"/>
      <c r="BE99" s="3"/>
      <c r="BF99" s="3"/>
      <c r="BG99" s="3"/>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3"/>
      <c r="CH99" s="3"/>
      <c r="CI99" s="3"/>
      <c r="CJ99" s="3"/>
      <c r="CK99" s="3"/>
      <c r="CL99" s="3"/>
      <c r="CM99" s="3"/>
      <c r="CN99" s="3"/>
      <c r="CO99" s="3"/>
      <c r="CP99" s="3"/>
      <c r="CQ99" s="3"/>
      <c r="CR99" s="3"/>
      <c r="CS99" s="32"/>
      <c r="CT99" s="32"/>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Y99" s="1"/>
      <c r="EZ99" s="1"/>
      <c r="FA99" s="1"/>
    </row>
    <row r="100" spans="9:157" ht="15.75" customHeight="1" x14ac:dyDescent="0.25">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2"/>
      <c r="AW100" s="3"/>
      <c r="AX100" s="3"/>
      <c r="AY100" s="3"/>
      <c r="AZ100" s="3"/>
      <c r="BA100" s="3"/>
      <c r="BB100" s="2"/>
      <c r="BC100" s="3"/>
      <c r="BD100" s="3"/>
      <c r="BE100" s="3"/>
      <c r="BF100" s="3"/>
      <c r="BG100" s="3"/>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3"/>
      <c r="CH100" s="3"/>
      <c r="CI100" s="3"/>
      <c r="CJ100" s="3"/>
      <c r="CK100" s="3"/>
      <c r="CL100" s="3"/>
      <c r="CM100" s="3"/>
      <c r="CN100" s="3"/>
      <c r="CO100" s="3"/>
      <c r="CP100" s="3"/>
      <c r="CQ100" s="3"/>
      <c r="CR100" s="3"/>
      <c r="CS100" s="32"/>
      <c r="CT100" s="32"/>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Y100" s="1"/>
      <c r="EZ100" s="1"/>
      <c r="FA100" s="1"/>
    </row>
    <row r="101" spans="9:157" ht="15.75" customHeight="1" x14ac:dyDescent="0.25">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2"/>
      <c r="AW101" s="3"/>
      <c r="AX101" s="3"/>
      <c r="AY101" s="3"/>
      <c r="AZ101" s="3"/>
      <c r="BA101" s="3"/>
      <c r="BB101" s="2"/>
      <c r="BC101" s="3"/>
      <c r="BD101" s="3"/>
      <c r="BE101" s="3"/>
      <c r="BF101" s="3"/>
      <c r="BG101" s="3"/>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3"/>
      <c r="CH101" s="3"/>
      <c r="CI101" s="3"/>
      <c r="CJ101" s="3"/>
      <c r="CK101" s="3"/>
      <c r="CL101" s="3"/>
      <c r="CM101" s="3"/>
      <c r="CN101" s="3"/>
      <c r="CO101" s="3"/>
      <c r="CP101" s="3"/>
      <c r="CQ101" s="3"/>
      <c r="CR101" s="3"/>
      <c r="CS101" s="32"/>
      <c r="CT101" s="32"/>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Y101" s="1"/>
      <c r="EZ101" s="1"/>
      <c r="FA101" s="1"/>
    </row>
    <row r="102" spans="9:157" ht="15.75" customHeight="1" x14ac:dyDescent="0.25">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2"/>
      <c r="AW102" s="3"/>
      <c r="AX102" s="3"/>
      <c r="AY102" s="3"/>
      <c r="AZ102" s="3"/>
      <c r="BA102" s="3"/>
      <c r="BB102" s="2"/>
      <c r="BC102" s="3"/>
      <c r="BD102" s="3"/>
      <c r="BE102" s="3"/>
      <c r="BF102" s="3"/>
      <c r="BG102" s="3"/>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3"/>
      <c r="CH102" s="3"/>
      <c r="CI102" s="3"/>
      <c r="CJ102" s="3"/>
      <c r="CK102" s="3"/>
      <c r="CL102" s="3"/>
      <c r="CM102" s="3"/>
      <c r="CN102" s="3"/>
      <c r="CO102" s="3"/>
      <c r="CP102" s="3"/>
      <c r="CQ102" s="3"/>
      <c r="CR102" s="3"/>
      <c r="CS102" s="32"/>
      <c r="CT102" s="32"/>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Y102" s="1"/>
      <c r="EZ102" s="1"/>
      <c r="FA102" s="1"/>
    </row>
    <row r="103" spans="9:157" ht="15.75" customHeight="1" x14ac:dyDescent="0.25">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2"/>
      <c r="AW103" s="3"/>
      <c r="AX103" s="3"/>
      <c r="AY103" s="3"/>
      <c r="AZ103" s="3"/>
      <c r="BA103" s="3"/>
      <c r="BB103" s="2"/>
      <c r="BC103" s="3"/>
      <c r="BD103" s="3"/>
      <c r="BE103" s="3"/>
      <c r="BF103" s="3"/>
      <c r="BG103" s="3"/>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3"/>
      <c r="CH103" s="3"/>
      <c r="CI103" s="3"/>
      <c r="CJ103" s="3"/>
      <c r="CK103" s="3"/>
      <c r="CL103" s="3"/>
      <c r="CM103" s="3"/>
      <c r="CN103" s="3"/>
      <c r="CO103" s="3"/>
      <c r="CP103" s="3"/>
      <c r="CQ103" s="3"/>
      <c r="CR103" s="3"/>
      <c r="CS103" s="32"/>
      <c r="CT103" s="32"/>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Y103" s="1"/>
      <c r="EZ103" s="1"/>
      <c r="FA103" s="1"/>
    </row>
    <row r="104" spans="9:157" ht="15.75" customHeight="1" x14ac:dyDescent="0.25">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2"/>
      <c r="AW104" s="3"/>
      <c r="AX104" s="3"/>
      <c r="AY104" s="3"/>
      <c r="AZ104" s="3"/>
      <c r="BA104" s="3"/>
      <c r="BB104" s="2"/>
      <c r="BC104" s="3"/>
      <c r="BD104" s="3"/>
      <c r="BE104" s="3"/>
      <c r="BF104" s="3"/>
      <c r="BG104" s="3"/>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3"/>
      <c r="CH104" s="3"/>
      <c r="CI104" s="3"/>
      <c r="CJ104" s="3"/>
      <c r="CK104" s="3"/>
      <c r="CL104" s="3"/>
      <c r="CM104" s="3"/>
      <c r="CN104" s="3"/>
      <c r="CO104" s="3"/>
      <c r="CP104" s="3"/>
      <c r="CQ104" s="3"/>
      <c r="CR104" s="3"/>
      <c r="CS104" s="32"/>
      <c r="CT104" s="32"/>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Y104" s="1"/>
      <c r="EZ104" s="1"/>
      <c r="FA104" s="1"/>
    </row>
    <row r="105" spans="9:157" ht="15.75" customHeight="1" x14ac:dyDescent="0.25">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2"/>
      <c r="AW105" s="3"/>
      <c r="AX105" s="3"/>
      <c r="AY105" s="3"/>
      <c r="AZ105" s="3"/>
      <c r="BA105" s="3"/>
      <c r="BB105" s="2"/>
      <c r="BC105" s="3"/>
      <c r="BD105" s="3"/>
      <c r="BE105" s="3"/>
      <c r="BF105" s="3"/>
      <c r="BG105" s="3"/>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3"/>
      <c r="CH105" s="3"/>
      <c r="CI105" s="3"/>
      <c r="CJ105" s="3"/>
      <c r="CK105" s="3"/>
      <c r="CL105" s="3"/>
      <c r="CM105" s="3"/>
      <c r="CN105" s="3"/>
      <c r="CO105" s="3"/>
      <c r="CP105" s="3"/>
      <c r="CQ105" s="3"/>
      <c r="CR105" s="3"/>
      <c r="CS105" s="32"/>
      <c r="CT105" s="32"/>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Y105" s="1"/>
      <c r="EZ105" s="1"/>
      <c r="FA105" s="1"/>
    </row>
    <row r="106" spans="9:157" ht="15.75" customHeight="1" x14ac:dyDescent="0.25">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2"/>
      <c r="AW106" s="3"/>
      <c r="AX106" s="3"/>
      <c r="AY106" s="3"/>
      <c r="AZ106" s="3"/>
      <c r="BA106" s="3"/>
      <c r="BB106" s="2"/>
      <c r="BC106" s="3"/>
      <c r="BD106" s="3"/>
      <c r="BE106" s="3"/>
      <c r="BF106" s="3"/>
      <c r="BG106" s="3"/>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3"/>
      <c r="CH106" s="3"/>
      <c r="CI106" s="3"/>
      <c r="CJ106" s="3"/>
      <c r="CK106" s="3"/>
      <c r="CL106" s="3"/>
      <c r="CM106" s="3"/>
      <c r="CN106" s="3"/>
      <c r="CO106" s="3"/>
      <c r="CP106" s="3"/>
      <c r="CQ106" s="3"/>
      <c r="CR106" s="3"/>
      <c r="CS106" s="32"/>
      <c r="CT106" s="32"/>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Y106" s="1"/>
      <c r="EZ106" s="1"/>
      <c r="FA106" s="1"/>
    </row>
    <row r="107" spans="9:157" ht="15.75" customHeight="1" x14ac:dyDescent="0.25">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2"/>
      <c r="AW107" s="3"/>
      <c r="AX107" s="3"/>
      <c r="AY107" s="3"/>
      <c r="AZ107" s="3"/>
      <c r="BA107" s="3"/>
      <c r="BB107" s="2"/>
      <c r="BC107" s="3"/>
      <c r="BD107" s="3"/>
      <c r="BE107" s="3"/>
      <c r="BF107" s="3"/>
      <c r="BG107" s="3"/>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3"/>
      <c r="CH107" s="3"/>
      <c r="CI107" s="3"/>
      <c r="CJ107" s="3"/>
      <c r="CK107" s="3"/>
      <c r="CL107" s="3"/>
      <c r="CM107" s="3"/>
      <c r="CN107" s="3"/>
      <c r="CO107" s="3"/>
      <c r="CP107" s="3"/>
      <c r="CQ107" s="3"/>
      <c r="CR107" s="3"/>
      <c r="CS107" s="32"/>
      <c r="CT107" s="32"/>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Y107" s="1"/>
      <c r="EZ107" s="1"/>
      <c r="FA107" s="1"/>
    </row>
    <row r="108" spans="9:157" ht="15.75" customHeight="1" x14ac:dyDescent="0.25">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2"/>
      <c r="AW108" s="3"/>
      <c r="AX108" s="3"/>
      <c r="AY108" s="3"/>
      <c r="AZ108" s="3"/>
      <c r="BA108" s="3"/>
      <c r="BB108" s="2"/>
      <c r="BC108" s="3"/>
      <c r="BD108" s="3"/>
      <c r="BE108" s="3"/>
      <c r="BF108" s="3"/>
      <c r="BG108" s="3"/>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3"/>
      <c r="CH108" s="3"/>
      <c r="CI108" s="3"/>
      <c r="CJ108" s="3"/>
      <c r="CK108" s="3"/>
      <c r="CL108" s="3"/>
      <c r="CM108" s="3"/>
      <c r="CN108" s="3"/>
      <c r="CO108" s="3"/>
      <c r="CP108" s="3"/>
      <c r="CQ108" s="3"/>
      <c r="CR108" s="3"/>
      <c r="CS108" s="32"/>
      <c r="CT108" s="32"/>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Y108" s="1"/>
      <c r="EZ108" s="1"/>
      <c r="FA108" s="1"/>
    </row>
    <row r="109" spans="9:157" ht="15.75" customHeight="1" x14ac:dyDescent="0.25">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2"/>
      <c r="AW109" s="3"/>
      <c r="AX109" s="3"/>
      <c r="AY109" s="3"/>
      <c r="AZ109" s="3"/>
      <c r="BA109" s="3"/>
      <c r="BB109" s="2"/>
      <c r="BC109" s="3"/>
      <c r="BD109" s="3"/>
      <c r="BE109" s="3"/>
      <c r="BF109" s="3"/>
      <c r="BG109" s="3"/>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3"/>
      <c r="CH109" s="3"/>
      <c r="CI109" s="3"/>
      <c r="CJ109" s="3"/>
      <c r="CK109" s="3"/>
      <c r="CL109" s="3"/>
      <c r="CM109" s="3"/>
      <c r="CN109" s="3"/>
      <c r="CO109" s="3"/>
      <c r="CP109" s="3"/>
      <c r="CQ109" s="3"/>
      <c r="CR109" s="3"/>
      <c r="CS109" s="32"/>
      <c r="CT109" s="32"/>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Y109" s="1"/>
      <c r="EZ109" s="1"/>
      <c r="FA109" s="1"/>
    </row>
    <row r="110" spans="9:157" ht="15.75" customHeight="1" x14ac:dyDescent="0.25">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2"/>
      <c r="AW110" s="3"/>
      <c r="AX110" s="3"/>
      <c r="AY110" s="3"/>
      <c r="AZ110" s="3"/>
      <c r="BA110" s="3"/>
      <c r="BB110" s="2"/>
      <c r="BC110" s="3"/>
      <c r="BD110" s="3"/>
      <c r="BE110" s="3"/>
      <c r="BF110" s="3"/>
      <c r="BG110" s="3"/>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3"/>
      <c r="CH110" s="3"/>
      <c r="CI110" s="3"/>
      <c r="CJ110" s="3"/>
      <c r="CK110" s="3"/>
      <c r="CL110" s="3"/>
      <c r="CM110" s="3"/>
      <c r="CN110" s="3"/>
      <c r="CO110" s="3"/>
      <c r="CP110" s="3"/>
      <c r="CQ110" s="3"/>
      <c r="CR110" s="3"/>
      <c r="CS110" s="32"/>
      <c r="CT110" s="32"/>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Y110" s="1"/>
      <c r="EZ110" s="1"/>
      <c r="FA110" s="1"/>
    </row>
    <row r="111" spans="9:157" ht="15.75" customHeight="1" x14ac:dyDescent="0.25">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2"/>
      <c r="AW111" s="3"/>
      <c r="AX111" s="3"/>
      <c r="AY111" s="3"/>
      <c r="AZ111" s="3"/>
      <c r="BA111" s="3"/>
      <c r="BB111" s="2"/>
      <c r="BC111" s="3"/>
      <c r="BD111" s="3"/>
      <c r="BE111" s="3"/>
      <c r="BF111" s="3"/>
      <c r="BG111" s="3"/>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3"/>
      <c r="CH111" s="3"/>
      <c r="CI111" s="3"/>
      <c r="CJ111" s="3"/>
      <c r="CK111" s="3"/>
      <c r="CL111" s="3"/>
      <c r="CM111" s="3"/>
      <c r="CN111" s="3"/>
      <c r="CO111" s="3"/>
      <c r="CP111" s="3"/>
      <c r="CQ111" s="3"/>
      <c r="CR111" s="3"/>
      <c r="CS111" s="32"/>
      <c r="CT111" s="32"/>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Y111" s="1"/>
      <c r="EZ111" s="1"/>
      <c r="FA111" s="1"/>
    </row>
    <row r="112" spans="9:157" ht="15.75" customHeight="1" x14ac:dyDescent="0.25">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2"/>
      <c r="AW112" s="3"/>
      <c r="AX112" s="3"/>
      <c r="AY112" s="3"/>
      <c r="AZ112" s="3"/>
      <c r="BA112" s="3"/>
      <c r="BB112" s="2"/>
      <c r="BC112" s="3"/>
      <c r="BD112" s="3"/>
      <c r="BE112" s="3"/>
      <c r="BF112" s="3"/>
      <c r="BG112" s="3"/>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3"/>
      <c r="CH112" s="3"/>
      <c r="CI112" s="3"/>
      <c r="CJ112" s="3"/>
      <c r="CK112" s="3"/>
      <c r="CL112" s="3"/>
      <c r="CM112" s="3"/>
      <c r="CN112" s="3"/>
      <c r="CO112" s="3"/>
      <c r="CP112" s="3"/>
      <c r="CQ112" s="3"/>
      <c r="CR112" s="3"/>
      <c r="CS112" s="32"/>
      <c r="CT112" s="32"/>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Y112" s="1"/>
      <c r="EZ112" s="1"/>
      <c r="FA112" s="1"/>
    </row>
    <row r="113" spans="9:157" ht="15.75" customHeight="1" x14ac:dyDescent="0.25">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2"/>
      <c r="AW113" s="3"/>
      <c r="AX113" s="3"/>
      <c r="AY113" s="3"/>
      <c r="AZ113" s="3"/>
      <c r="BA113" s="3"/>
      <c r="BB113" s="2"/>
      <c r="BC113" s="3"/>
      <c r="BD113" s="3"/>
      <c r="BE113" s="3"/>
      <c r="BF113" s="3"/>
      <c r="BG113" s="3"/>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3"/>
      <c r="CH113" s="3"/>
      <c r="CI113" s="3"/>
      <c r="CJ113" s="3"/>
      <c r="CK113" s="3"/>
      <c r="CL113" s="3"/>
      <c r="CM113" s="3"/>
      <c r="CN113" s="3"/>
      <c r="CO113" s="3"/>
      <c r="CP113" s="3"/>
      <c r="CQ113" s="3"/>
      <c r="CR113" s="3"/>
      <c r="CS113" s="32"/>
      <c r="CT113" s="32"/>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Y113" s="1"/>
      <c r="EZ113" s="1"/>
      <c r="FA113" s="1"/>
    </row>
    <row r="114" spans="9:157" ht="15.75" customHeight="1" x14ac:dyDescent="0.25">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2"/>
      <c r="AW114" s="3"/>
      <c r="AX114" s="3"/>
      <c r="AY114" s="3"/>
      <c r="AZ114" s="3"/>
      <c r="BA114" s="3"/>
      <c r="BB114" s="2"/>
      <c r="BC114" s="3"/>
      <c r="BD114" s="3"/>
      <c r="BE114" s="3"/>
      <c r="BF114" s="3"/>
      <c r="BG114" s="3"/>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3"/>
      <c r="CH114" s="3"/>
      <c r="CI114" s="3"/>
      <c r="CJ114" s="3"/>
      <c r="CK114" s="3"/>
      <c r="CL114" s="3"/>
      <c r="CM114" s="3"/>
      <c r="CN114" s="3"/>
      <c r="CO114" s="3"/>
      <c r="CP114" s="3"/>
      <c r="CQ114" s="3"/>
      <c r="CR114" s="3"/>
      <c r="CS114" s="32"/>
      <c r="CT114" s="32"/>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Y114" s="1"/>
      <c r="EZ114" s="1"/>
      <c r="FA114" s="1"/>
    </row>
    <row r="115" spans="9:157" ht="15.75" customHeight="1" x14ac:dyDescent="0.25">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2"/>
      <c r="AW115" s="3"/>
      <c r="AX115" s="3"/>
      <c r="AY115" s="3"/>
      <c r="AZ115" s="3"/>
      <c r="BA115" s="3"/>
      <c r="BB115" s="2"/>
      <c r="BC115" s="3"/>
      <c r="BD115" s="3"/>
      <c r="BE115" s="3"/>
      <c r="BF115" s="3"/>
      <c r="BG115" s="3"/>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3"/>
      <c r="CH115" s="3"/>
      <c r="CI115" s="3"/>
      <c r="CJ115" s="3"/>
      <c r="CK115" s="3"/>
      <c r="CL115" s="3"/>
      <c r="CM115" s="3"/>
      <c r="CN115" s="3"/>
      <c r="CO115" s="3"/>
      <c r="CP115" s="3"/>
      <c r="CQ115" s="3"/>
      <c r="CR115" s="3"/>
      <c r="CS115" s="32"/>
      <c r="CT115" s="32"/>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Y115" s="1"/>
      <c r="EZ115" s="1"/>
      <c r="FA115" s="1"/>
    </row>
    <row r="116" spans="9:157" ht="15.75" customHeight="1" x14ac:dyDescent="0.25">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2"/>
      <c r="AW116" s="3"/>
      <c r="AX116" s="3"/>
      <c r="AY116" s="3"/>
      <c r="AZ116" s="3"/>
      <c r="BA116" s="3"/>
      <c r="BB116" s="2"/>
      <c r="BC116" s="3"/>
      <c r="BD116" s="3"/>
      <c r="BE116" s="3"/>
      <c r="BF116" s="3"/>
      <c r="BG116" s="3"/>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3"/>
      <c r="CH116" s="3"/>
      <c r="CI116" s="3"/>
      <c r="CJ116" s="3"/>
      <c r="CK116" s="3"/>
      <c r="CL116" s="3"/>
      <c r="CM116" s="3"/>
      <c r="CN116" s="3"/>
      <c r="CO116" s="3"/>
      <c r="CP116" s="3"/>
      <c r="CQ116" s="3"/>
      <c r="CR116" s="3"/>
      <c r="CS116" s="32"/>
      <c r="CT116" s="32"/>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Y116" s="1"/>
      <c r="EZ116" s="1"/>
      <c r="FA116" s="1"/>
    </row>
    <row r="117" spans="9:157" ht="15.75" customHeight="1" x14ac:dyDescent="0.25">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2"/>
      <c r="AW117" s="3"/>
      <c r="AX117" s="3"/>
      <c r="AY117" s="3"/>
      <c r="AZ117" s="3"/>
      <c r="BA117" s="3"/>
      <c r="BB117" s="2"/>
      <c r="BC117" s="3"/>
      <c r="BD117" s="3"/>
      <c r="BE117" s="3"/>
      <c r="BF117" s="3"/>
      <c r="BG117" s="3"/>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3"/>
      <c r="CH117" s="3"/>
      <c r="CI117" s="3"/>
      <c r="CJ117" s="3"/>
      <c r="CK117" s="3"/>
      <c r="CL117" s="3"/>
      <c r="CM117" s="3"/>
      <c r="CN117" s="3"/>
      <c r="CO117" s="3"/>
      <c r="CP117" s="3"/>
      <c r="CQ117" s="3"/>
      <c r="CR117" s="3"/>
      <c r="CS117" s="32"/>
      <c r="CT117" s="32"/>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Y117" s="1"/>
      <c r="EZ117" s="1"/>
      <c r="FA117" s="1"/>
    </row>
    <row r="118" spans="9:157" ht="15.75" customHeight="1" x14ac:dyDescent="0.25">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2"/>
      <c r="AW118" s="3"/>
      <c r="AX118" s="3"/>
      <c r="AY118" s="3"/>
      <c r="AZ118" s="3"/>
      <c r="BA118" s="3"/>
      <c r="BB118" s="2"/>
      <c r="BC118" s="3"/>
      <c r="BD118" s="3"/>
      <c r="BE118" s="3"/>
      <c r="BF118" s="3"/>
      <c r="BG118" s="3"/>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3"/>
      <c r="CH118" s="3"/>
      <c r="CI118" s="3"/>
      <c r="CJ118" s="3"/>
      <c r="CK118" s="3"/>
      <c r="CL118" s="3"/>
      <c r="CM118" s="3"/>
      <c r="CN118" s="3"/>
      <c r="CO118" s="3"/>
      <c r="CP118" s="3"/>
      <c r="CQ118" s="3"/>
      <c r="CR118" s="3"/>
      <c r="CS118" s="32"/>
      <c r="CT118" s="32"/>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Y118" s="1"/>
      <c r="EZ118" s="1"/>
      <c r="FA118" s="1"/>
    </row>
    <row r="119" spans="9:157" ht="15.75" customHeight="1" x14ac:dyDescent="0.25">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2"/>
      <c r="AW119" s="3"/>
      <c r="AX119" s="3"/>
      <c r="AY119" s="3"/>
      <c r="AZ119" s="3"/>
      <c r="BA119" s="3"/>
      <c r="BB119" s="2"/>
      <c r="BC119" s="3"/>
      <c r="BD119" s="3"/>
      <c r="BE119" s="3"/>
      <c r="BF119" s="3"/>
      <c r="BG119" s="3"/>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3"/>
      <c r="CH119" s="3"/>
      <c r="CI119" s="3"/>
      <c r="CJ119" s="3"/>
      <c r="CK119" s="3"/>
      <c r="CL119" s="3"/>
      <c r="CM119" s="3"/>
      <c r="CN119" s="3"/>
      <c r="CO119" s="3"/>
      <c r="CP119" s="3"/>
      <c r="CQ119" s="3"/>
      <c r="CR119" s="3"/>
      <c r="CS119" s="32"/>
      <c r="CT119" s="32"/>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Y119" s="1"/>
      <c r="EZ119" s="1"/>
      <c r="FA119" s="1"/>
    </row>
    <row r="120" spans="9:157" ht="15.75" customHeight="1" x14ac:dyDescent="0.25">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2"/>
      <c r="AW120" s="3"/>
      <c r="AX120" s="3"/>
      <c r="AY120" s="3"/>
      <c r="AZ120" s="3"/>
      <c r="BA120" s="3"/>
      <c r="BB120" s="2"/>
      <c r="BC120" s="3"/>
      <c r="BD120" s="3"/>
      <c r="BE120" s="3"/>
      <c r="BF120" s="3"/>
      <c r="BG120" s="3"/>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3"/>
      <c r="CH120" s="3"/>
      <c r="CI120" s="3"/>
      <c r="CJ120" s="3"/>
      <c r="CK120" s="3"/>
      <c r="CL120" s="3"/>
      <c r="CM120" s="3"/>
      <c r="CN120" s="3"/>
      <c r="CO120" s="3"/>
      <c r="CP120" s="3"/>
      <c r="CQ120" s="3"/>
      <c r="CR120" s="3"/>
      <c r="CS120" s="32"/>
      <c r="CT120" s="32"/>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Y120" s="1"/>
      <c r="EZ120" s="1"/>
      <c r="FA120" s="1"/>
    </row>
    <row r="121" spans="9:157" ht="15.75" customHeight="1" x14ac:dyDescent="0.25">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2"/>
      <c r="AW121" s="3"/>
      <c r="AX121" s="3"/>
      <c r="AY121" s="3"/>
      <c r="AZ121" s="3"/>
      <c r="BA121" s="3"/>
      <c r="BB121" s="2"/>
      <c r="BC121" s="3"/>
      <c r="BD121" s="3"/>
      <c r="BE121" s="3"/>
      <c r="BF121" s="3"/>
      <c r="BG121" s="3"/>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3"/>
      <c r="CH121" s="3"/>
      <c r="CI121" s="3"/>
      <c r="CJ121" s="3"/>
      <c r="CK121" s="3"/>
      <c r="CL121" s="3"/>
      <c r="CM121" s="3"/>
      <c r="CN121" s="3"/>
      <c r="CO121" s="3"/>
      <c r="CP121" s="3"/>
      <c r="CQ121" s="3"/>
      <c r="CR121" s="3"/>
      <c r="CS121" s="32"/>
      <c r="CT121" s="32"/>
      <c r="CU121" s="3"/>
      <c r="CV121" s="3"/>
      <c r="CW121" s="3"/>
      <c r="CX121" s="3"/>
      <c r="CY121" s="3"/>
      <c r="CZ121" s="3"/>
      <c r="DA121" s="3"/>
      <c r="DB121" s="3"/>
      <c r="DC121" s="3"/>
      <c r="DD121" s="3"/>
      <c r="DE121" s="3"/>
      <c r="DF121" s="3"/>
      <c r="DG121" s="3"/>
      <c r="DH121" s="3"/>
      <c r="DI121" s="3"/>
      <c r="DJ121" s="3"/>
      <c r="DK121" s="3"/>
      <c r="DL121" s="3"/>
      <c r="DM121" s="3"/>
      <c r="DN121" s="3"/>
      <c r="DO121" s="3"/>
      <c r="DP121" s="3"/>
      <c r="DQ121" s="3"/>
      <c r="DR121" s="3"/>
      <c r="DS121" s="3"/>
      <c r="DT121" s="3"/>
      <c r="DU121" s="3"/>
      <c r="DV121" s="3"/>
      <c r="DW121" s="3"/>
      <c r="DX121" s="3"/>
      <c r="DY121" s="3"/>
      <c r="DZ121" s="3"/>
      <c r="EA121" s="3"/>
      <c r="EB121" s="3"/>
      <c r="EC121" s="3"/>
      <c r="ED121" s="3"/>
      <c r="EE121" s="3"/>
      <c r="EF121" s="3"/>
      <c r="EG121" s="3"/>
      <c r="EH121" s="3"/>
      <c r="EI121" s="3"/>
      <c r="EJ121" s="3"/>
      <c r="EK121" s="3"/>
      <c r="EL121" s="3"/>
      <c r="EM121" s="3"/>
      <c r="EN121" s="3"/>
      <c r="EO121" s="3"/>
      <c r="EP121" s="3"/>
      <c r="EQ121" s="3"/>
      <c r="ER121" s="3"/>
      <c r="ES121" s="3"/>
      <c r="EY121" s="1"/>
      <c r="EZ121" s="1"/>
      <c r="FA121" s="1"/>
    </row>
    <row r="122" spans="9:157" ht="15.75" customHeight="1" x14ac:dyDescent="0.25">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2"/>
      <c r="AW122" s="3"/>
      <c r="AX122" s="3"/>
      <c r="AY122" s="3"/>
      <c r="AZ122" s="3"/>
      <c r="BA122" s="3"/>
      <c r="BB122" s="2"/>
      <c r="BC122" s="3"/>
      <c r="BD122" s="3"/>
      <c r="BE122" s="3"/>
      <c r="BF122" s="3"/>
      <c r="BG122" s="3"/>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3"/>
      <c r="CH122" s="3"/>
      <c r="CI122" s="3"/>
      <c r="CJ122" s="3"/>
      <c r="CK122" s="3"/>
      <c r="CL122" s="3"/>
      <c r="CM122" s="3"/>
      <c r="CN122" s="3"/>
      <c r="CO122" s="3"/>
      <c r="CP122" s="3"/>
      <c r="CQ122" s="3"/>
      <c r="CR122" s="3"/>
      <c r="CS122" s="32"/>
      <c r="CT122" s="32"/>
      <c r="CU122" s="3"/>
      <c r="CV122" s="3"/>
      <c r="CW122" s="3"/>
      <c r="CX122" s="3"/>
      <c r="CY122" s="3"/>
      <c r="CZ122" s="3"/>
      <c r="DA122" s="3"/>
      <c r="DB122" s="3"/>
      <c r="DC122" s="3"/>
      <c r="DD122" s="3"/>
      <c r="DE122" s="3"/>
      <c r="DF122" s="3"/>
      <c r="DG122" s="3"/>
      <c r="DH122" s="3"/>
      <c r="DI122" s="3"/>
      <c r="DJ122" s="3"/>
      <c r="DK122" s="3"/>
      <c r="DL122" s="3"/>
      <c r="DM122" s="3"/>
      <c r="DN122" s="3"/>
      <c r="DO122" s="3"/>
      <c r="DP122" s="3"/>
      <c r="DQ122" s="3"/>
      <c r="DR122" s="3"/>
      <c r="DS122" s="3"/>
      <c r="DT122" s="3"/>
      <c r="DU122" s="3"/>
      <c r="DV122" s="3"/>
      <c r="DW122" s="3"/>
      <c r="DX122" s="3"/>
      <c r="DY122" s="3"/>
      <c r="DZ122" s="3"/>
      <c r="EA122" s="3"/>
      <c r="EB122" s="3"/>
      <c r="EC122" s="3"/>
      <c r="ED122" s="3"/>
      <c r="EE122" s="3"/>
      <c r="EF122" s="3"/>
      <c r="EG122" s="3"/>
      <c r="EH122" s="3"/>
      <c r="EI122" s="3"/>
      <c r="EJ122" s="3"/>
      <c r="EK122" s="3"/>
      <c r="EL122" s="3"/>
      <c r="EM122" s="3"/>
      <c r="EN122" s="3"/>
      <c r="EO122" s="3"/>
      <c r="EP122" s="3"/>
      <c r="EQ122" s="3"/>
      <c r="ER122" s="3"/>
      <c r="ES122" s="3"/>
      <c r="EY122" s="1"/>
      <c r="EZ122" s="1"/>
      <c r="FA122" s="1"/>
    </row>
    <row r="123" spans="9:157" ht="15.75" customHeight="1" x14ac:dyDescent="0.25">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2"/>
      <c r="AW123" s="3"/>
      <c r="AX123" s="3"/>
      <c r="AY123" s="3"/>
      <c r="AZ123" s="3"/>
      <c r="BA123" s="3"/>
      <c r="BB123" s="2"/>
      <c r="BC123" s="3"/>
      <c r="BD123" s="3"/>
      <c r="BE123" s="3"/>
      <c r="BF123" s="3"/>
      <c r="BG123" s="3"/>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3"/>
      <c r="CH123" s="3"/>
      <c r="CI123" s="3"/>
      <c r="CJ123" s="3"/>
      <c r="CK123" s="3"/>
      <c r="CL123" s="3"/>
      <c r="CM123" s="3"/>
      <c r="CN123" s="3"/>
      <c r="CO123" s="3"/>
      <c r="CP123" s="3"/>
      <c r="CQ123" s="3"/>
      <c r="CR123" s="3"/>
      <c r="CS123" s="32"/>
      <c r="CT123" s="32"/>
      <c r="CU123" s="3"/>
      <c r="CV123" s="3"/>
      <c r="CW123" s="3"/>
      <c r="CX123" s="3"/>
      <c r="CY123" s="3"/>
      <c r="CZ123" s="3"/>
      <c r="DA123" s="3"/>
      <c r="DB123" s="3"/>
      <c r="DC123" s="3"/>
      <c r="DD123" s="3"/>
      <c r="DE123" s="3"/>
      <c r="DF123" s="3"/>
      <c r="DG123" s="3"/>
      <c r="DH123" s="3"/>
      <c r="DI123" s="3"/>
      <c r="DJ123" s="3"/>
      <c r="DK123" s="3"/>
      <c r="DL123" s="3"/>
      <c r="DM123" s="3"/>
      <c r="DN123" s="3"/>
      <c r="DO123" s="3"/>
      <c r="DP123" s="3"/>
      <c r="DQ123" s="3"/>
      <c r="DR123" s="3"/>
      <c r="DS123" s="3"/>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c r="ER123" s="3"/>
      <c r="ES123" s="3"/>
      <c r="EY123" s="1"/>
      <c r="EZ123" s="1"/>
      <c r="FA123" s="1"/>
    </row>
    <row r="124" spans="9:157" ht="15.75" customHeight="1" x14ac:dyDescent="0.25">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2"/>
      <c r="AW124" s="3"/>
      <c r="AX124" s="3"/>
      <c r="AY124" s="3"/>
      <c r="AZ124" s="3"/>
      <c r="BA124" s="3"/>
      <c r="BB124" s="2"/>
      <c r="BC124" s="3"/>
      <c r="BD124" s="3"/>
      <c r="BE124" s="3"/>
      <c r="BF124" s="3"/>
      <c r="BG124" s="3"/>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3"/>
      <c r="CH124" s="3"/>
      <c r="CI124" s="3"/>
      <c r="CJ124" s="3"/>
      <c r="CK124" s="3"/>
      <c r="CL124" s="3"/>
      <c r="CM124" s="3"/>
      <c r="CN124" s="3"/>
      <c r="CO124" s="3"/>
      <c r="CP124" s="3"/>
      <c r="CQ124" s="3"/>
      <c r="CR124" s="3"/>
      <c r="CS124" s="32"/>
      <c r="CT124" s="32"/>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Y124" s="1"/>
      <c r="EZ124" s="1"/>
      <c r="FA124" s="1"/>
    </row>
    <row r="125" spans="9:157" ht="15.75" customHeight="1" x14ac:dyDescent="0.25">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2"/>
      <c r="AW125" s="3"/>
      <c r="AX125" s="3"/>
      <c r="AY125" s="3"/>
      <c r="AZ125" s="3"/>
      <c r="BA125" s="3"/>
      <c r="BB125" s="2"/>
      <c r="BC125" s="3"/>
      <c r="BD125" s="3"/>
      <c r="BE125" s="3"/>
      <c r="BF125" s="3"/>
      <c r="BG125" s="3"/>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3"/>
      <c r="CH125" s="3"/>
      <c r="CI125" s="3"/>
      <c r="CJ125" s="3"/>
      <c r="CK125" s="3"/>
      <c r="CL125" s="3"/>
      <c r="CM125" s="3"/>
      <c r="CN125" s="3"/>
      <c r="CO125" s="3"/>
      <c r="CP125" s="3"/>
      <c r="CQ125" s="3"/>
      <c r="CR125" s="3"/>
      <c r="CS125" s="32"/>
      <c r="CT125" s="32"/>
      <c r="CU125" s="3"/>
      <c r="CV125" s="3"/>
      <c r="CW125" s="3"/>
      <c r="CX125" s="3"/>
      <c r="CY125" s="3"/>
      <c r="CZ125" s="3"/>
      <c r="DA125" s="3"/>
      <c r="DB125" s="3"/>
      <c r="DC125" s="3"/>
      <c r="DD125" s="3"/>
      <c r="DE125" s="3"/>
      <c r="DF125" s="3"/>
      <c r="DG125" s="3"/>
      <c r="DH125" s="3"/>
      <c r="DI125" s="3"/>
      <c r="DJ125" s="3"/>
      <c r="DK125" s="3"/>
      <c r="DL125" s="3"/>
      <c r="DM125" s="3"/>
      <c r="DN125" s="3"/>
      <c r="DO125" s="3"/>
      <c r="DP125" s="3"/>
      <c r="DQ125" s="3"/>
      <c r="DR125" s="3"/>
      <c r="DS125" s="3"/>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c r="ER125" s="3"/>
      <c r="ES125" s="3"/>
      <c r="EY125" s="1"/>
      <c r="EZ125" s="1"/>
      <c r="FA125" s="1"/>
    </row>
    <row r="126" spans="9:157" ht="15.75" customHeight="1" x14ac:dyDescent="0.25">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2"/>
      <c r="AW126" s="3"/>
      <c r="AX126" s="3"/>
      <c r="AY126" s="3"/>
      <c r="AZ126" s="3"/>
      <c r="BA126" s="3"/>
      <c r="BB126" s="2"/>
      <c r="BC126" s="3"/>
      <c r="BD126" s="3"/>
      <c r="BE126" s="3"/>
      <c r="BF126" s="3"/>
      <c r="BG126" s="3"/>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3"/>
      <c r="CH126" s="3"/>
      <c r="CI126" s="3"/>
      <c r="CJ126" s="3"/>
      <c r="CK126" s="3"/>
      <c r="CL126" s="3"/>
      <c r="CM126" s="3"/>
      <c r="CN126" s="3"/>
      <c r="CO126" s="3"/>
      <c r="CP126" s="3"/>
      <c r="CQ126" s="3"/>
      <c r="CR126" s="3"/>
      <c r="CS126" s="32"/>
      <c r="CT126" s="32"/>
      <c r="CU126" s="3"/>
      <c r="CV126" s="3"/>
      <c r="CW126" s="3"/>
      <c r="CX126" s="3"/>
      <c r="CY126" s="3"/>
      <c r="CZ126" s="3"/>
      <c r="DA126" s="3"/>
      <c r="DB126" s="3"/>
      <c r="DC126" s="3"/>
      <c r="DD126" s="3"/>
      <c r="DE126" s="3"/>
      <c r="DF126" s="3"/>
      <c r="DG126" s="3"/>
      <c r="DH126" s="3"/>
      <c r="DI126" s="3"/>
      <c r="DJ126" s="3"/>
      <c r="DK126" s="3"/>
      <c r="DL126" s="3"/>
      <c r="DM126" s="3"/>
      <c r="DN126" s="3"/>
      <c r="DO126" s="3"/>
      <c r="DP126" s="3"/>
      <c r="DQ126" s="3"/>
      <c r="DR126" s="3"/>
      <c r="DS126" s="3"/>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c r="ER126" s="3"/>
      <c r="ES126" s="3"/>
      <c r="EY126" s="1"/>
      <c r="EZ126" s="1"/>
      <c r="FA126" s="1"/>
    </row>
    <row r="127" spans="9:157" ht="15.75" customHeight="1" x14ac:dyDescent="0.25">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2"/>
      <c r="AW127" s="3"/>
      <c r="AX127" s="3"/>
      <c r="AY127" s="3"/>
      <c r="AZ127" s="3"/>
      <c r="BA127" s="3"/>
      <c r="BB127" s="2"/>
      <c r="BC127" s="3"/>
      <c r="BD127" s="3"/>
      <c r="BE127" s="3"/>
      <c r="BF127" s="3"/>
      <c r="BG127" s="3"/>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3"/>
      <c r="CH127" s="3"/>
      <c r="CI127" s="3"/>
      <c r="CJ127" s="3"/>
      <c r="CK127" s="3"/>
      <c r="CL127" s="3"/>
      <c r="CM127" s="3"/>
      <c r="CN127" s="3"/>
      <c r="CO127" s="3"/>
      <c r="CP127" s="3"/>
      <c r="CQ127" s="3"/>
      <c r="CR127" s="3"/>
      <c r="CS127" s="32"/>
      <c r="CT127" s="32"/>
      <c r="CU127" s="3"/>
      <c r="CV127" s="3"/>
      <c r="CW127" s="3"/>
      <c r="CX127" s="3"/>
      <c r="CY127" s="3"/>
      <c r="CZ127" s="3"/>
      <c r="DA127" s="3"/>
      <c r="DB127" s="3"/>
      <c r="DC127" s="3"/>
      <c r="DD127" s="3"/>
      <c r="DE127" s="3"/>
      <c r="DF127" s="3"/>
      <c r="DG127" s="3"/>
      <c r="DH127" s="3"/>
      <c r="DI127" s="3"/>
      <c r="DJ127" s="3"/>
      <c r="DK127" s="3"/>
      <c r="DL127" s="3"/>
      <c r="DM127" s="3"/>
      <c r="DN127" s="3"/>
      <c r="DO127" s="3"/>
      <c r="DP127" s="3"/>
      <c r="DQ127" s="3"/>
      <c r="DR127" s="3"/>
      <c r="DS127" s="3"/>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c r="ER127" s="3"/>
      <c r="ES127" s="3"/>
      <c r="EY127" s="1"/>
      <c r="EZ127" s="1"/>
      <c r="FA127" s="1"/>
    </row>
    <row r="128" spans="9:157" ht="15.75" customHeight="1" x14ac:dyDescent="0.25">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2"/>
      <c r="AW128" s="3"/>
      <c r="AX128" s="3"/>
      <c r="AY128" s="3"/>
      <c r="AZ128" s="3"/>
      <c r="BA128" s="3"/>
      <c r="BB128" s="2"/>
      <c r="BC128" s="3"/>
      <c r="BD128" s="3"/>
      <c r="BE128" s="3"/>
      <c r="BF128" s="3"/>
      <c r="BG128" s="3"/>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3"/>
      <c r="CH128" s="3"/>
      <c r="CI128" s="3"/>
      <c r="CJ128" s="3"/>
      <c r="CK128" s="3"/>
      <c r="CL128" s="3"/>
      <c r="CM128" s="3"/>
      <c r="CN128" s="3"/>
      <c r="CO128" s="3"/>
      <c r="CP128" s="3"/>
      <c r="CQ128" s="3"/>
      <c r="CR128" s="3"/>
      <c r="CS128" s="32"/>
      <c r="CT128" s="32"/>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Y128" s="1"/>
      <c r="EZ128" s="1"/>
      <c r="FA128" s="1"/>
    </row>
    <row r="129" spans="9:157" ht="15.75" customHeight="1" x14ac:dyDescent="0.25">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2"/>
      <c r="AW129" s="3"/>
      <c r="AX129" s="3"/>
      <c r="AY129" s="3"/>
      <c r="AZ129" s="3"/>
      <c r="BA129" s="3"/>
      <c r="BB129" s="2"/>
      <c r="BC129" s="3"/>
      <c r="BD129" s="3"/>
      <c r="BE129" s="3"/>
      <c r="BF129" s="3"/>
      <c r="BG129" s="3"/>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3"/>
      <c r="CH129" s="3"/>
      <c r="CI129" s="3"/>
      <c r="CJ129" s="3"/>
      <c r="CK129" s="3"/>
      <c r="CL129" s="3"/>
      <c r="CM129" s="3"/>
      <c r="CN129" s="3"/>
      <c r="CO129" s="3"/>
      <c r="CP129" s="3"/>
      <c r="CQ129" s="3"/>
      <c r="CR129" s="3"/>
      <c r="CS129" s="32"/>
      <c r="CT129" s="32"/>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Y129" s="1"/>
      <c r="EZ129" s="1"/>
      <c r="FA129" s="1"/>
    </row>
    <row r="130" spans="9:157" ht="15.75" customHeight="1" x14ac:dyDescent="0.25">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2"/>
      <c r="AW130" s="3"/>
      <c r="AX130" s="3"/>
      <c r="AY130" s="3"/>
      <c r="AZ130" s="3"/>
      <c r="BA130" s="3"/>
      <c r="BB130" s="2"/>
      <c r="BC130" s="3"/>
      <c r="BD130" s="3"/>
      <c r="BE130" s="3"/>
      <c r="BF130" s="3"/>
      <c r="BG130" s="3"/>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3"/>
      <c r="CH130" s="3"/>
      <c r="CI130" s="3"/>
      <c r="CJ130" s="3"/>
      <c r="CK130" s="3"/>
      <c r="CL130" s="3"/>
      <c r="CM130" s="3"/>
      <c r="CN130" s="3"/>
      <c r="CO130" s="3"/>
      <c r="CP130" s="3"/>
      <c r="CQ130" s="3"/>
      <c r="CR130" s="3"/>
      <c r="CS130" s="32"/>
      <c r="CT130" s="32"/>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Y130" s="1"/>
      <c r="EZ130" s="1"/>
      <c r="FA130" s="1"/>
    </row>
    <row r="131" spans="9:157" ht="15.75" customHeight="1" x14ac:dyDescent="0.25">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2"/>
      <c r="AW131" s="3"/>
      <c r="AX131" s="3"/>
      <c r="AY131" s="3"/>
      <c r="AZ131" s="3"/>
      <c r="BA131" s="3"/>
      <c r="BB131" s="2"/>
      <c r="BC131" s="3"/>
      <c r="BD131" s="3"/>
      <c r="BE131" s="3"/>
      <c r="BF131" s="3"/>
      <c r="BG131" s="3"/>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3"/>
      <c r="CH131" s="3"/>
      <c r="CI131" s="3"/>
      <c r="CJ131" s="3"/>
      <c r="CK131" s="3"/>
      <c r="CL131" s="3"/>
      <c r="CM131" s="3"/>
      <c r="CN131" s="3"/>
      <c r="CO131" s="3"/>
      <c r="CP131" s="3"/>
      <c r="CQ131" s="3"/>
      <c r="CR131" s="3"/>
      <c r="CS131" s="32"/>
      <c r="CT131" s="32"/>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Y131" s="1"/>
      <c r="EZ131" s="1"/>
      <c r="FA131" s="1"/>
    </row>
    <row r="132" spans="9:157" ht="15.75" customHeight="1" x14ac:dyDescent="0.25">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2"/>
      <c r="AW132" s="3"/>
      <c r="AX132" s="3"/>
      <c r="AY132" s="3"/>
      <c r="AZ132" s="3"/>
      <c r="BA132" s="3"/>
      <c r="BB132" s="2"/>
      <c r="BC132" s="3"/>
      <c r="BD132" s="3"/>
      <c r="BE132" s="3"/>
      <c r="BF132" s="3"/>
      <c r="BG132" s="3"/>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3"/>
      <c r="CH132" s="3"/>
      <c r="CI132" s="3"/>
      <c r="CJ132" s="3"/>
      <c r="CK132" s="3"/>
      <c r="CL132" s="3"/>
      <c r="CM132" s="3"/>
      <c r="CN132" s="3"/>
      <c r="CO132" s="3"/>
      <c r="CP132" s="3"/>
      <c r="CQ132" s="3"/>
      <c r="CR132" s="3"/>
      <c r="CS132" s="32"/>
      <c r="CT132" s="32"/>
      <c r="CU132" s="3"/>
      <c r="CV132" s="3"/>
      <c r="CW132" s="3"/>
      <c r="CX132" s="3"/>
      <c r="CY132" s="3"/>
      <c r="CZ132" s="3"/>
      <c r="DA132" s="3"/>
      <c r="DB132" s="3"/>
      <c r="DC132" s="3"/>
      <c r="DD132" s="3"/>
      <c r="DE132" s="3"/>
      <c r="DF132" s="3"/>
      <c r="DG132" s="3"/>
      <c r="DH132" s="3"/>
      <c r="DI132" s="3"/>
      <c r="DJ132" s="3"/>
      <c r="DK132" s="3"/>
      <c r="DL132" s="3"/>
      <c r="DM132" s="3"/>
      <c r="DN132" s="3"/>
      <c r="DO132" s="3"/>
      <c r="DP132" s="3"/>
      <c r="DQ132" s="3"/>
      <c r="DR132" s="3"/>
      <c r="DS132" s="3"/>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c r="ER132" s="3"/>
      <c r="ES132" s="3"/>
      <c r="EY132" s="1"/>
      <c r="EZ132" s="1"/>
      <c r="FA132" s="1"/>
    </row>
    <row r="133" spans="9:157" ht="15.75" customHeight="1" x14ac:dyDescent="0.25">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2"/>
      <c r="AW133" s="3"/>
      <c r="AX133" s="3"/>
      <c r="AY133" s="3"/>
      <c r="AZ133" s="3"/>
      <c r="BA133" s="3"/>
      <c r="BB133" s="2"/>
      <c r="BC133" s="3"/>
      <c r="BD133" s="3"/>
      <c r="BE133" s="3"/>
      <c r="BF133" s="3"/>
      <c r="BG133" s="3"/>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3"/>
      <c r="CH133" s="3"/>
      <c r="CI133" s="3"/>
      <c r="CJ133" s="3"/>
      <c r="CK133" s="3"/>
      <c r="CL133" s="3"/>
      <c r="CM133" s="3"/>
      <c r="CN133" s="3"/>
      <c r="CO133" s="3"/>
      <c r="CP133" s="3"/>
      <c r="CQ133" s="3"/>
      <c r="CR133" s="3"/>
      <c r="CS133" s="32"/>
      <c r="CT133" s="32"/>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Y133" s="1"/>
      <c r="EZ133" s="1"/>
      <c r="FA133" s="1"/>
    </row>
    <row r="134" spans="9:157" ht="15.75" customHeight="1" x14ac:dyDescent="0.25">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2"/>
      <c r="AW134" s="3"/>
      <c r="AX134" s="3"/>
      <c r="AY134" s="3"/>
      <c r="AZ134" s="3"/>
      <c r="BA134" s="3"/>
      <c r="BB134" s="2"/>
      <c r="BC134" s="3"/>
      <c r="BD134" s="3"/>
      <c r="BE134" s="3"/>
      <c r="BF134" s="3"/>
      <c r="BG134" s="3"/>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3"/>
      <c r="CH134" s="3"/>
      <c r="CI134" s="3"/>
      <c r="CJ134" s="3"/>
      <c r="CK134" s="3"/>
      <c r="CL134" s="3"/>
      <c r="CM134" s="3"/>
      <c r="CN134" s="3"/>
      <c r="CO134" s="3"/>
      <c r="CP134" s="3"/>
      <c r="CQ134" s="3"/>
      <c r="CR134" s="3"/>
      <c r="CS134" s="32"/>
      <c r="CT134" s="32"/>
      <c r="CU134" s="3"/>
      <c r="CV134" s="3"/>
      <c r="CW134" s="3"/>
      <c r="CX134" s="3"/>
      <c r="CY134" s="3"/>
      <c r="CZ134" s="3"/>
      <c r="DA134" s="3"/>
      <c r="DB134" s="3"/>
      <c r="DC134" s="3"/>
      <c r="DD134" s="3"/>
      <c r="DE134" s="3"/>
      <c r="DF134" s="3"/>
      <c r="DG134" s="3"/>
      <c r="DH134" s="3"/>
      <c r="DI134" s="3"/>
      <c r="DJ134" s="3"/>
      <c r="DK134" s="3"/>
      <c r="DL134" s="3"/>
      <c r="DM134" s="3"/>
      <c r="DN134" s="3"/>
      <c r="DO134" s="3"/>
      <c r="DP134" s="3"/>
      <c r="DQ134" s="3"/>
      <c r="DR134" s="3"/>
      <c r="DS134" s="3"/>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c r="ER134" s="3"/>
      <c r="ES134" s="3"/>
      <c r="EY134" s="1"/>
      <c r="EZ134" s="1"/>
      <c r="FA134" s="1"/>
    </row>
    <row r="135" spans="9:157" ht="15.75" customHeight="1" x14ac:dyDescent="0.25">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2"/>
      <c r="AW135" s="3"/>
      <c r="AX135" s="3"/>
      <c r="AY135" s="3"/>
      <c r="AZ135" s="3"/>
      <c r="BA135" s="3"/>
      <c r="BB135" s="2"/>
      <c r="BC135" s="3"/>
      <c r="BD135" s="3"/>
      <c r="BE135" s="3"/>
      <c r="BF135" s="3"/>
      <c r="BG135" s="3"/>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3"/>
      <c r="CH135" s="3"/>
      <c r="CI135" s="3"/>
      <c r="CJ135" s="3"/>
      <c r="CK135" s="3"/>
      <c r="CL135" s="3"/>
      <c r="CM135" s="3"/>
      <c r="CN135" s="3"/>
      <c r="CO135" s="3"/>
      <c r="CP135" s="3"/>
      <c r="CQ135" s="3"/>
      <c r="CR135" s="3"/>
      <c r="CS135" s="32"/>
      <c r="CT135" s="32"/>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Y135" s="1"/>
      <c r="EZ135" s="1"/>
      <c r="FA135" s="1"/>
    </row>
    <row r="136" spans="9:157" ht="15.75" customHeight="1" x14ac:dyDescent="0.25">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2"/>
      <c r="AW136" s="3"/>
      <c r="AX136" s="3"/>
      <c r="AY136" s="3"/>
      <c r="AZ136" s="3"/>
      <c r="BA136" s="3"/>
      <c r="BB136" s="2"/>
      <c r="BC136" s="3"/>
      <c r="BD136" s="3"/>
      <c r="BE136" s="3"/>
      <c r="BF136" s="3"/>
      <c r="BG136" s="3"/>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3"/>
      <c r="CH136" s="3"/>
      <c r="CI136" s="3"/>
      <c r="CJ136" s="3"/>
      <c r="CK136" s="3"/>
      <c r="CL136" s="3"/>
      <c r="CM136" s="3"/>
      <c r="CN136" s="3"/>
      <c r="CO136" s="3"/>
      <c r="CP136" s="3"/>
      <c r="CQ136" s="3"/>
      <c r="CR136" s="3"/>
      <c r="CS136" s="32"/>
      <c r="CT136" s="32"/>
      <c r="CU136" s="3"/>
      <c r="CV136" s="3"/>
      <c r="CW136" s="3"/>
      <c r="CX136" s="3"/>
      <c r="CY136" s="3"/>
      <c r="CZ136" s="3"/>
      <c r="DA136" s="3"/>
      <c r="DB136" s="3"/>
      <c r="DC136" s="3"/>
      <c r="DD136" s="3"/>
      <c r="DE136" s="3"/>
      <c r="DF136" s="3"/>
      <c r="DG136" s="3"/>
      <c r="DH136" s="3"/>
      <c r="DI136" s="3"/>
      <c r="DJ136" s="3"/>
      <c r="DK136" s="3"/>
      <c r="DL136" s="3"/>
      <c r="DM136" s="3"/>
      <c r="DN136" s="3"/>
      <c r="DO136" s="3"/>
      <c r="DP136" s="3"/>
      <c r="DQ136" s="3"/>
      <c r="DR136" s="3"/>
      <c r="DS136" s="3"/>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c r="ER136" s="3"/>
      <c r="ES136" s="3"/>
      <c r="EY136" s="1"/>
      <c r="EZ136" s="1"/>
      <c r="FA136" s="1"/>
    </row>
    <row r="137" spans="9:157" ht="15.75" customHeight="1" x14ac:dyDescent="0.25">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2"/>
      <c r="AW137" s="3"/>
      <c r="AX137" s="3"/>
      <c r="AY137" s="3"/>
      <c r="AZ137" s="3"/>
      <c r="BA137" s="3"/>
      <c r="BB137" s="2"/>
      <c r="BC137" s="3"/>
      <c r="BD137" s="3"/>
      <c r="BE137" s="3"/>
      <c r="BF137" s="3"/>
      <c r="BG137" s="3"/>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3"/>
      <c r="CH137" s="3"/>
      <c r="CI137" s="3"/>
      <c r="CJ137" s="3"/>
      <c r="CK137" s="3"/>
      <c r="CL137" s="3"/>
      <c r="CM137" s="3"/>
      <c r="CN137" s="3"/>
      <c r="CO137" s="3"/>
      <c r="CP137" s="3"/>
      <c r="CQ137" s="3"/>
      <c r="CR137" s="3"/>
      <c r="CS137" s="32"/>
      <c r="CT137" s="32"/>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Y137" s="1"/>
      <c r="EZ137" s="1"/>
      <c r="FA137" s="1"/>
    </row>
    <row r="138" spans="9:157" ht="15.75" customHeight="1" x14ac:dyDescent="0.25">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2"/>
      <c r="AW138" s="3"/>
      <c r="AX138" s="3"/>
      <c r="AY138" s="3"/>
      <c r="AZ138" s="3"/>
      <c r="BA138" s="3"/>
      <c r="BB138" s="2"/>
      <c r="BC138" s="3"/>
      <c r="BD138" s="3"/>
      <c r="BE138" s="3"/>
      <c r="BF138" s="3"/>
      <c r="BG138" s="3"/>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3"/>
      <c r="CH138" s="3"/>
      <c r="CI138" s="3"/>
      <c r="CJ138" s="3"/>
      <c r="CK138" s="3"/>
      <c r="CL138" s="3"/>
      <c r="CM138" s="3"/>
      <c r="CN138" s="3"/>
      <c r="CO138" s="3"/>
      <c r="CP138" s="3"/>
      <c r="CQ138" s="3"/>
      <c r="CR138" s="3"/>
      <c r="CS138" s="32"/>
      <c r="CT138" s="32"/>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Y138" s="1"/>
      <c r="EZ138" s="1"/>
      <c r="FA138" s="1"/>
    </row>
    <row r="139" spans="9:157" ht="15.75" customHeight="1" x14ac:dyDescent="0.25">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2"/>
      <c r="AW139" s="3"/>
      <c r="AX139" s="3"/>
      <c r="AY139" s="3"/>
      <c r="AZ139" s="3"/>
      <c r="BA139" s="3"/>
      <c r="BB139" s="2"/>
      <c r="BC139" s="3"/>
      <c r="BD139" s="3"/>
      <c r="BE139" s="3"/>
      <c r="BF139" s="3"/>
      <c r="BG139" s="3"/>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3"/>
      <c r="CH139" s="3"/>
      <c r="CI139" s="3"/>
      <c r="CJ139" s="3"/>
      <c r="CK139" s="3"/>
      <c r="CL139" s="3"/>
      <c r="CM139" s="3"/>
      <c r="CN139" s="3"/>
      <c r="CO139" s="3"/>
      <c r="CP139" s="3"/>
      <c r="CQ139" s="3"/>
      <c r="CR139" s="3"/>
      <c r="CS139" s="32"/>
      <c r="CT139" s="32"/>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Y139" s="1"/>
      <c r="EZ139" s="1"/>
      <c r="FA139" s="1"/>
    </row>
    <row r="140" spans="9:157" ht="15.75" customHeight="1" x14ac:dyDescent="0.25">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2"/>
      <c r="AW140" s="3"/>
      <c r="AX140" s="3"/>
      <c r="AY140" s="3"/>
      <c r="AZ140" s="3"/>
      <c r="BA140" s="3"/>
      <c r="BB140" s="2"/>
      <c r="BC140" s="3"/>
      <c r="BD140" s="3"/>
      <c r="BE140" s="3"/>
      <c r="BF140" s="3"/>
      <c r="BG140" s="3"/>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3"/>
      <c r="CH140" s="3"/>
      <c r="CI140" s="3"/>
      <c r="CJ140" s="3"/>
      <c r="CK140" s="3"/>
      <c r="CL140" s="3"/>
      <c r="CM140" s="3"/>
      <c r="CN140" s="3"/>
      <c r="CO140" s="3"/>
      <c r="CP140" s="3"/>
      <c r="CQ140" s="3"/>
      <c r="CR140" s="3"/>
      <c r="CS140" s="32"/>
      <c r="CT140" s="32"/>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Y140" s="1"/>
      <c r="EZ140" s="1"/>
      <c r="FA140" s="1"/>
    </row>
    <row r="141" spans="9:157" ht="15.75" customHeight="1" x14ac:dyDescent="0.25">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2"/>
      <c r="AW141" s="3"/>
      <c r="AX141" s="3"/>
      <c r="AY141" s="3"/>
      <c r="AZ141" s="3"/>
      <c r="BA141" s="3"/>
      <c r="BB141" s="2"/>
      <c r="BC141" s="3"/>
      <c r="BD141" s="3"/>
      <c r="BE141" s="3"/>
      <c r="BF141" s="3"/>
      <c r="BG141" s="3"/>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3"/>
      <c r="CH141" s="3"/>
      <c r="CI141" s="3"/>
      <c r="CJ141" s="3"/>
      <c r="CK141" s="3"/>
      <c r="CL141" s="3"/>
      <c r="CM141" s="3"/>
      <c r="CN141" s="3"/>
      <c r="CO141" s="3"/>
      <c r="CP141" s="3"/>
      <c r="CQ141" s="3"/>
      <c r="CR141" s="3"/>
      <c r="CS141" s="32"/>
      <c r="CT141" s="32"/>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Y141" s="1"/>
      <c r="EZ141" s="1"/>
      <c r="FA141" s="1"/>
    </row>
    <row r="142" spans="9:157" ht="15.75" customHeight="1" x14ac:dyDescent="0.25">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2"/>
      <c r="AW142" s="3"/>
      <c r="AX142" s="3"/>
      <c r="AY142" s="3"/>
      <c r="AZ142" s="3"/>
      <c r="BA142" s="3"/>
      <c r="BB142" s="2"/>
      <c r="BC142" s="3"/>
      <c r="BD142" s="3"/>
      <c r="BE142" s="3"/>
      <c r="BF142" s="3"/>
      <c r="BG142" s="3"/>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3"/>
      <c r="CH142" s="3"/>
      <c r="CI142" s="3"/>
      <c r="CJ142" s="3"/>
      <c r="CK142" s="3"/>
      <c r="CL142" s="3"/>
      <c r="CM142" s="3"/>
      <c r="CN142" s="3"/>
      <c r="CO142" s="3"/>
      <c r="CP142" s="3"/>
      <c r="CQ142" s="3"/>
      <c r="CR142" s="3"/>
      <c r="CS142" s="32"/>
      <c r="CT142" s="32"/>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Y142" s="1"/>
      <c r="EZ142" s="1"/>
      <c r="FA142" s="1"/>
    </row>
    <row r="143" spans="9:157" ht="15.75" customHeight="1" x14ac:dyDescent="0.25">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2"/>
      <c r="AW143" s="3"/>
      <c r="AX143" s="3"/>
      <c r="AY143" s="3"/>
      <c r="AZ143" s="3"/>
      <c r="BA143" s="3"/>
      <c r="BB143" s="2"/>
      <c r="BC143" s="3"/>
      <c r="BD143" s="3"/>
      <c r="BE143" s="3"/>
      <c r="BF143" s="3"/>
      <c r="BG143" s="3"/>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3"/>
      <c r="CH143" s="3"/>
      <c r="CI143" s="3"/>
      <c r="CJ143" s="3"/>
      <c r="CK143" s="3"/>
      <c r="CL143" s="3"/>
      <c r="CM143" s="3"/>
      <c r="CN143" s="3"/>
      <c r="CO143" s="3"/>
      <c r="CP143" s="3"/>
      <c r="CQ143" s="3"/>
      <c r="CR143" s="3"/>
      <c r="CS143" s="32"/>
      <c r="CT143" s="32"/>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Y143" s="1"/>
      <c r="EZ143" s="1"/>
      <c r="FA143" s="1"/>
    </row>
    <row r="144" spans="9:157" ht="15.75" customHeight="1" x14ac:dyDescent="0.25">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2"/>
      <c r="AW144" s="3"/>
      <c r="AX144" s="3"/>
      <c r="AY144" s="3"/>
      <c r="AZ144" s="3"/>
      <c r="BA144" s="3"/>
      <c r="BB144" s="2"/>
      <c r="BC144" s="3"/>
      <c r="BD144" s="3"/>
      <c r="BE144" s="3"/>
      <c r="BF144" s="3"/>
      <c r="BG144" s="3"/>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3"/>
      <c r="CH144" s="3"/>
      <c r="CI144" s="3"/>
      <c r="CJ144" s="3"/>
      <c r="CK144" s="3"/>
      <c r="CL144" s="3"/>
      <c r="CM144" s="3"/>
      <c r="CN144" s="3"/>
      <c r="CO144" s="3"/>
      <c r="CP144" s="3"/>
      <c r="CQ144" s="3"/>
      <c r="CR144" s="3"/>
      <c r="CS144" s="32"/>
      <c r="CT144" s="32"/>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Y144" s="1"/>
      <c r="EZ144" s="1"/>
      <c r="FA144" s="1"/>
    </row>
    <row r="145" spans="9:157" ht="15.75" customHeight="1" x14ac:dyDescent="0.25">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2"/>
      <c r="AW145" s="3"/>
      <c r="AX145" s="3"/>
      <c r="AY145" s="3"/>
      <c r="AZ145" s="3"/>
      <c r="BA145" s="3"/>
      <c r="BB145" s="2"/>
      <c r="BC145" s="3"/>
      <c r="BD145" s="3"/>
      <c r="BE145" s="3"/>
      <c r="BF145" s="3"/>
      <c r="BG145" s="3"/>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3"/>
      <c r="CH145" s="3"/>
      <c r="CI145" s="3"/>
      <c r="CJ145" s="3"/>
      <c r="CK145" s="3"/>
      <c r="CL145" s="3"/>
      <c r="CM145" s="3"/>
      <c r="CN145" s="3"/>
      <c r="CO145" s="3"/>
      <c r="CP145" s="3"/>
      <c r="CQ145" s="3"/>
      <c r="CR145" s="3"/>
      <c r="CS145" s="32"/>
      <c r="CT145" s="32"/>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Y145" s="1"/>
      <c r="EZ145" s="1"/>
      <c r="FA145" s="1"/>
    </row>
    <row r="146" spans="9:157" ht="15.75" customHeight="1" x14ac:dyDescent="0.25">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2"/>
      <c r="AW146" s="3"/>
      <c r="AX146" s="3"/>
      <c r="AY146" s="3"/>
      <c r="AZ146" s="3"/>
      <c r="BA146" s="3"/>
      <c r="BB146" s="2"/>
      <c r="BC146" s="3"/>
      <c r="BD146" s="3"/>
      <c r="BE146" s="3"/>
      <c r="BF146" s="3"/>
      <c r="BG146" s="3"/>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3"/>
      <c r="CH146" s="3"/>
      <c r="CI146" s="3"/>
      <c r="CJ146" s="3"/>
      <c r="CK146" s="3"/>
      <c r="CL146" s="3"/>
      <c r="CM146" s="3"/>
      <c r="CN146" s="3"/>
      <c r="CO146" s="3"/>
      <c r="CP146" s="3"/>
      <c r="CQ146" s="3"/>
      <c r="CR146" s="3"/>
      <c r="CS146" s="32"/>
      <c r="CT146" s="32"/>
      <c r="CU146" s="3"/>
      <c r="CV146" s="3"/>
      <c r="CW146" s="3"/>
      <c r="CX146" s="3"/>
      <c r="CY146" s="3"/>
      <c r="CZ146" s="3"/>
      <c r="DA146" s="3"/>
      <c r="DB146" s="3"/>
      <c r="DC146" s="3"/>
      <c r="DD146" s="3"/>
      <c r="DE146" s="3"/>
      <c r="DF146" s="3"/>
      <c r="DG146" s="3"/>
      <c r="DH146" s="3"/>
      <c r="DI146" s="3"/>
      <c r="DJ146" s="3"/>
      <c r="DK146" s="3"/>
      <c r="DL146" s="3"/>
      <c r="DM146" s="3"/>
      <c r="DN146" s="3"/>
      <c r="DO146" s="3"/>
      <c r="DP146" s="3"/>
      <c r="DQ146" s="3"/>
      <c r="DR146" s="3"/>
      <c r="DS146" s="3"/>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c r="ER146" s="3"/>
      <c r="ES146" s="3"/>
      <c r="EY146" s="1"/>
      <c r="EZ146" s="1"/>
      <c r="FA146" s="1"/>
    </row>
    <row r="147" spans="9:157" ht="15.75" customHeight="1" x14ac:dyDescent="0.25">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2"/>
      <c r="AW147" s="3"/>
      <c r="AX147" s="3"/>
      <c r="AY147" s="3"/>
      <c r="AZ147" s="3"/>
      <c r="BA147" s="3"/>
      <c r="BB147" s="2"/>
      <c r="BC147" s="3"/>
      <c r="BD147" s="3"/>
      <c r="BE147" s="3"/>
      <c r="BF147" s="3"/>
      <c r="BG147" s="3"/>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3"/>
      <c r="CH147" s="3"/>
      <c r="CI147" s="3"/>
      <c r="CJ147" s="3"/>
      <c r="CK147" s="3"/>
      <c r="CL147" s="3"/>
      <c r="CM147" s="3"/>
      <c r="CN147" s="3"/>
      <c r="CO147" s="3"/>
      <c r="CP147" s="3"/>
      <c r="CQ147" s="3"/>
      <c r="CR147" s="3"/>
      <c r="CS147" s="32"/>
      <c r="CT147" s="32"/>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Y147" s="1"/>
      <c r="EZ147" s="1"/>
      <c r="FA147" s="1"/>
    </row>
    <row r="148" spans="9:157" ht="15.75" customHeight="1" x14ac:dyDescent="0.25">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2"/>
      <c r="AW148" s="3"/>
      <c r="AX148" s="3"/>
      <c r="AY148" s="3"/>
      <c r="AZ148" s="3"/>
      <c r="BA148" s="3"/>
      <c r="BB148" s="2"/>
      <c r="BC148" s="3"/>
      <c r="BD148" s="3"/>
      <c r="BE148" s="3"/>
      <c r="BF148" s="3"/>
      <c r="BG148" s="3"/>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3"/>
      <c r="CH148" s="3"/>
      <c r="CI148" s="3"/>
      <c r="CJ148" s="3"/>
      <c r="CK148" s="3"/>
      <c r="CL148" s="3"/>
      <c r="CM148" s="3"/>
      <c r="CN148" s="3"/>
      <c r="CO148" s="3"/>
      <c r="CP148" s="3"/>
      <c r="CQ148" s="3"/>
      <c r="CR148" s="3"/>
      <c r="CS148" s="32"/>
      <c r="CT148" s="32"/>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Y148" s="1"/>
      <c r="EZ148" s="1"/>
      <c r="FA148" s="1"/>
    </row>
    <row r="149" spans="9:157" ht="15.75" customHeight="1" x14ac:dyDescent="0.25">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2"/>
      <c r="AW149" s="3"/>
      <c r="AX149" s="3"/>
      <c r="AY149" s="3"/>
      <c r="AZ149" s="3"/>
      <c r="BA149" s="3"/>
      <c r="BB149" s="2"/>
      <c r="BC149" s="3"/>
      <c r="BD149" s="3"/>
      <c r="BE149" s="3"/>
      <c r="BF149" s="3"/>
      <c r="BG149" s="3"/>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3"/>
      <c r="CH149" s="3"/>
      <c r="CI149" s="3"/>
      <c r="CJ149" s="3"/>
      <c r="CK149" s="3"/>
      <c r="CL149" s="3"/>
      <c r="CM149" s="3"/>
      <c r="CN149" s="3"/>
      <c r="CO149" s="3"/>
      <c r="CP149" s="3"/>
      <c r="CQ149" s="3"/>
      <c r="CR149" s="3"/>
      <c r="CS149" s="32"/>
      <c r="CT149" s="32"/>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Y149" s="1"/>
      <c r="EZ149" s="1"/>
      <c r="FA149" s="1"/>
    </row>
    <row r="150" spans="9:157" ht="15.75" customHeight="1" x14ac:dyDescent="0.25">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2"/>
      <c r="AW150" s="3"/>
      <c r="AX150" s="3"/>
      <c r="AY150" s="3"/>
      <c r="AZ150" s="3"/>
      <c r="BA150" s="3"/>
      <c r="BB150" s="2"/>
      <c r="BC150" s="3"/>
      <c r="BD150" s="3"/>
      <c r="BE150" s="3"/>
      <c r="BF150" s="3"/>
      <c r="BG150" s="3"/>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3"/>
      <c r="CH150" s="3"/>
      <c r="CI150" s="3"/>
      <c r="CJ150" s="3"/>
      <c r="CK150" s="3"/>
      <c r="CL150" s="3"/>
      <c r="CM150" s="3"/>
      <c r="CN150" s="3"/>
      <c r="CO150" s="3"/>
      <c r="CP150" s="3"/>
      <c r="CQ150" s="3"/>
      <c r="CR150" s="3"/>
      <c r="CS150" s="32"/>
      <c r="CT150" s="32"/>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Y150" s="1"/>
      <c r="EZ150" s="1"/>
      <c r="FA150" s="1"/>
    </row>
    <row r="151" spans="9:157" ht="15.75" customHeight="1" x14ac:dyDescent="0.25">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2"/>
      <c r="AW151" s="3"/>
      <c r="AX151" s="3"/>
      <c r="AY151" s="3"/>
      <c r="AZ151" s="3"/>
      <c r="BA151" s="3"/>
      <c r="BB151" s="2"/>
      <c r="BC151" s="3"/>
      <c r="BD151" s="3"/>
      <c r="BE151" s="3"/>
      <c r="BF151" s="3"/>
      <c r="BG151" s="3"/>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3"/>
      <c r="CH151" s="3"/>
      <c r="CI151" s="3"/>
      <c r="CJ151" s="3"/>
      <c r="CK151" s="3"/>
      <c r="CL151" s="3"/>
      <c r="CM151" s="3"/>
      <c r="CN151" s="3"/>
      <c r="CO151" s="3"/>
      <c r="CP151" s="3"/>
      <c r="CQ151" s="3"/>
      <c r="CR151" s="3"/>
      <c r="CS151" s="32"/>
      <c r="CT151" s="32"/>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Y151" s="1"/>
      <c r="EZ151" s="1"/>
      <c r="FA151" s="1"/>
    </row>
    <row r="152" spans="9:157" ht="15.75" customHeight="1" x14ac:dyDescent="0.25">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2"/>
      <c r="AW152" s="3"/>
      <c r="AX152" s="3"/>
      <c r="AY152" s="3"/>
      <c r="AZ152" s="3"/>
      <c r="BA152" s="3"/>
      <c r="BB152" s="2"/>
      <c r="BC152" s="3"/>
      <c r="BD152" s="3"/>
      <c r="BE152" s="3"/>
      <c r="BF152" s="3"/>
      <c r="BG152" s="3"/>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3"/>
      <c r="CH152" s="3"/>
      <c r="CI152" s="3"/>
      <c r="CJ152" s="3"/>
      <c r="CK152" s="3"/>
      <c r="CL152" s="3"/>
      <c r="CM152" s="3"/>
      <c r="CN152" s="3"/>
      <c r="CO152" s="3"/>
      <c r="CP152" s="3"/>
      <c r="CQ152" s="3"/>
      <c r="CR152" s="3"/>
      <c r="CS152" s="32"/>
      <c r="CT152" s="32"/>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Y152" s="1"/>
      <c r="EZ152" s="1"/>
      <c r="FA152" s="1"/>
    </row>
    <row r="153" spans="9:157" ht="15.75" customHeight="1" x14ac:dyDescent="0.25">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2"/>
      <c r="AW153" s="3"/>
      <c r="AX153" s="3"/>
      <c r="AY153" s="3"/>
      <c r="AZ153" s="3"/>
      <c r="BA153" s="3"/>
      <c r="BB153" s="2"/>
      <c r="BC153" s="3"/>
      <c r="BD153" s="3"/>
      <c r="BE153" s="3"/>
      <c r="BF153" s="3"/>
      <c r="BG153" s="3"/>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3"/>
      <c r="CH153" s="3"/>
      <c r="CI153" s="3"/>
      <c r="CJ153" s="3"/>
      <c r="CK153" s="3"/>
      <c r="CL153" s="3"/>
      <c r="CM153" s="3"/>
      <c r="CN153" s="3"/>
      <c r="CO153" s="3"/>
      <c r="CP153" s="3"/>
      <c r="CQ153" s="3"/>
      <c r="CR153" s="3"/>
      <c r="CS153" s="32"/>
      <c r="CT153" s="32"/>
      <c r="CU153" s="3"/>
      <c r="CV153" s="3"/>
      <c r="CW153" s="3"/>
      <c r="CX153" s="3"/>
      <c r="CY153" s="3"/>
      <c r="CZ153" s="3"/>
      <c r="DA153" s="3"/>
      <c r="DB153" s="3"/>
      <c r="DC153" s="3"/>
      <c r="DD153" s="3"/>
      <c r="DE153" s="3"/>
      <c r="DF153" s="3"/>
      <c r="DG153" s="3"/>
      <c r="DH153" s="3"/>
      <c r="DI153" s="3"/>
      <c r="DJ153" s="3"/>
      <c r="DK153" s="3"/>
      <c r="DL153" s="3"/>
      <c r="DM153" s="3"/>
      <c r="DN153" s="3"/>
      <c r="DO153" s="3"/>
      <c r="DP153" s="3"/>
      <c r="DQ153" s="3"/>
      <c r="DR153" s="3"/>
      <c r="DS153" s="3"/>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c r="ER153" s="3"/>
      <c r="ES153" s="3"/>
      <c r="EY153" s="1"/>
      <c r="EZ153" s="1"/>
      <c r="FA153" s="1"/>
    </row>
    <row r="154" spans="9:157" ht="15.75" customHeight="1" x14ac:dyDescent="0.25">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2"/>
      <c r="AW154" s="3"/>
      <c r="AX154" s="3"/>
      <c r="AY154" s="3"/>
      <c r="AZ154" s="3"/>
      <c r="BA154" s="3"/>
      <c r="BB154" s="2"/>
      <c r="BC154" s="3"/>
      <c r="BD154" s="3"/>
      <c r="BE154" s="3"/>
      <c r="BF154" s="3"/>
      <c r="BG154" s="3"/>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3"/>
      <c r="CH154" s="3"/>
      <c r="CI154" s="3"/>
      <c r="CJ154" s="3"/>
      <c r="CK154" s="3"/>
      <c r="CL154" s="3"/>
      <c r="CM154" s="3"/>
      <c r="CN154" s="3"/>
      <c r="CO154" s="3"/>
      <c r="CP154" s="3"/>
      <c r="CQ154" s="3"/>
      <c r="CR154" s="3"/>
      <c r="CS154" s="32"/>
      <c r="CT154" s="32"/>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Y154" s="1"/>
      <c r="EZ154" s="1"/>
      <c r="FA154" s="1"/>
    </row>
    <row r="155" spans="9:157" ht="15.75" customHeight="1" x14ac:dyDescent="0.25">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2"/>
      <c r="AW155" s="3"/>
      <c r="AX155" s="3"/>
      <c r="AY155" s="3"/>
      <c r="AZ155" s="3"/>
      <c r="BA155" s="3"/>
      <c r="BB155" s="2"/>
      <c r="BC155" s="3"/>
      <c r="BD155" s="3"/>
      <c r="BE155" s="3"/>
      <c r="BF155" s="3"/>
      <c r="BG155" s="3"/>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3"/>
      <c r="CH155" s="3"/>
      <c r="CI155" s="3"/>
      <c r="CJ155" s="3"/>
      <c r="CK155" s="3"/>
      <c r="CL155" s="3"/>
      <c r="CM155" s="3"/>
      <c r="CN155" s="3"/>
      <c r="CO155" s="3"/>
      <c r="CP155" s="3"/>
      <c r="CQ155" s="3"/>
      <c r="CR155" s="3"/>
      <c r="CS155" s="32"/>
      <c r="CT155" s="32"/>
      <c r="CU155" s="3"/>
      <c r="CV155" s="3"/>
      <c r="CW155" s="3"/>
      <c r="CX155" s="3"/>
      <c r="CY155" s="3"/>
      <c r="CZ155" s="3"/>
      <c r="DA155" s="3"/>
      <c r="DB155" s="3"/>
      <c r="DC155" s="3"/>
      <c r="DD155" s="3"/>
      <c r="DE155" s="3"/>
      <c r="DF155" s="3"/>
      <c r="DG155" s="3"/>
      <c r="DH155" s="3"/>
      <c r="DI155" s="3"/>
      <c r="DJ155" s="3"/>
      <c r="DK155" s="3"/>
      <c r="DL155" s="3"/>
      <c r="DM155" s="3"/>
      <c r="DN155" s="3"/>
      <c r="DO155" s="3"/>
      <c r="DP155" s="3"/>
      <c r="DQ155" s="3"/>
      <c r="DR155" s="3"/>
      <c r="DS155" s="3"/>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c r="ER155" s="3"/>
      <c r="ES155" s="3"/>
      <c r="EY155" s="1"/>
      <c r="EZ155" s="1"/>
      <c r="FA155" s="1"/>
    </row>
    <row r="156" spans="9:157" ht="15.75" customHeight="1" x14ac:dyDescent="0.25">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2"/>
      <c r="AW156" s="3"/>
      <c r="AX156" s="3"/>
      <c r="AY156" s="3"/>
      <c r="AZ156" s="3"/>
      <c r="BA156" s="3"/>
      <c r="BB156" s="2"/>
      <c r="BC156" s="3"/>
      <c r="BD156" s="3"/>
      <c r="BE156" s="3"/>
      <c r="BF156" s="3"/>
      <c r="BG156" s="3"/>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3"/>
      <c r="CH156" s="3"/>
      <c r="CI156" s="3"/>
      <c r="CJ156" s="3"/>
      <c r="CK156" s="3"/>
      <c r="CL156" s="3"/>
      <c r="CM156" s="3"/>
      <c r="CN156" s="3"/>
      <c r="CO156" s="3"/>
      <c r="CP156" s="3"/>
      <c r="CQ156" s="3"/>
      <c r="CR156" s="3"/>
      <c r="CS156" s="32"/>
      <c r="CT156" s="32"/>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Y156" s="1"/>
      <c r="EZ156" s="1"/>
      <c r="FA156" s="1"/>
    </row>
    <row r="157" spans="9:157" ht="15.75" customHeight="1" x14ac:dyDescent="0.25">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2"/>
      <c r="AW157" s="3"/>
      <c r="AX157" s="3"/>
      <c r="AY157" s="3"/>
      <c r="AZ157" s="3"/>
      <c r="BA157" s="3"/>
      <c r="BB157" s="2"/>
      <c r="BC157" s="3"/>
      <c r="BD157" s="3"/>
      <c r="BE157" s="3"/>
      <c r="BF157" s="3"/>
      <c r="BG157" s="3"/>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3"/>
      <c r="CH157" s="3"/>
      <c r="CI157" s="3"/>
      <c r="CJ157" s="3"/>
      <c r="CK157" s="3"/>
      <c r="CL157" s="3"/>
      <c r="CM157" s="3"/>
      <c r="CN157" s="3"/>
      <c r="CO157" s="3"/>
      <c r="CP157" s="3"/>
      <c r="CQ157" s="3"/>
      <c r="CR157" s="3"/>
      <c r="CS157" s="32"/>
      <c r="CT157" s="32"/>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Y157" s="1"/>
      <c r="EZ157" s="1"/>
      <c r="FA157" s="1"/>
    </row>
    <row r="158" spans="9:157" ht="15.75" customHeight="1" x14ac:dyDescent="0.25">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2"/>
      <c r="AW158" s="3"/>
      <c r="AX158" s="3"/>
      <c r="AY158" s="3"/>
      <c r="AZ158" s="3"/>
      <c r="BA158" s="3"/>
      <c r="BB158" s="2"/>
      <c r="BC158" s="3"/>
      <c r="BD158" s="3"/>
      <c r="BE158" s="3"/>
      <c r="BF158" s="3"/>
      <c r="BG158" s="3"/>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3"/>
      <c r="CH158" s="3"/>
      <c r="CI158" s="3"/>
      <c r="CJ158" s="3"/>
      <c r="CK158" s="3"/>
      <c r="CL158" s="3"/>
      <c r="CM158" s="3"/>
      <c r="CN158" s="3"/>
      <c r="CO158" s="3"/>
      <c r="CP158" s="3"/>
      <c r="CQ158" s="3"/>
      <c r="CR158" s="3"/>
      <c r="CS158" s="32"/>
      <c r="CT158" s="32"/>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Y158" s="1"/>
      <c r="EZ158" s="1"/>
      <c r="FA158" s="1"/>
    </row>
    <row r="159" spans="9:157" ht="15.75" customHeight="1" x14ac:dyDescent="0.25">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2"/>
      <c r="AW159" s="3"/>
      <c r="AX159" s="3"/>
      <c r="AY159" s="3"/>
      <c r="AZ159" s="3"/>
      <c r="BA159" s="3"/>
      <c r="BB159" s="2"/>
      <c r="BC159" s="3"/>
      <c r="BD159" s="3"/>
      <c r="BE159" s="3"/>
      <c r="BF159" s="3"/>
      <c r="BG159" s="3"/>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3"/>
      <c r="CH159" s="3"/>
      <c r="CI159" s="3"/>
      <c r="CJ159" s="3"/>
      <c r="CK159" s="3"/>
      <c r="CL159" s="3"/>
      <c r="CM159" s="3"/>
      <c r="CN159" s="3"/>
      <c r="CO159" s="3"/>
      <c r="CP159" s="3"/>
      <c r="CQ159" s="3"/>
      <c r="CR159" s="3"/>
      <c r="CS159" s="32"/>
      <c r="CT159" s="32"/>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Y159" s="1"/>
      <c r="EZ159" s="1"/>
      <c r="FA159" s="1"/>
    </row>
    <row r="160" spans="9:157" ht="15.75" customHeight="1" x14ac:dyDescent="0.25">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2"/>
      <c r="AW160" s="3"/>
      <c r="AX160" s="3"/>
      <c r="AY160" s="3"/>
      <c r="AZ160" s="3"/>
      <c r="BA160" s="3"/>
      <c r="BB160" s="2"/>
      <c r="BC160" s="3"/>
      <c r="BD160" s="3"/>
      <c r="BE160" s="3"/>
      <c r="BF160" s="3"/>
      <c r="BG160" s="3"/>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3"/>
      <c r="CH160" s="3"/>
      <c r="CI160" s="3"/>
      <c r="CJ160" s="3"/>
      <c r="CK160" s="3"/>
      <c r="CL160" s="3"/>
      <c r="CM160" s="3"/>
      <c r="CN160" s="3"/>
      <c r="CO160" s="3"/>
      <c r="CP160" s="3"/>
      <c r="CQ160" s="3"/>
      <c r="CR160" s="3"/>
      <c r="CS160" s="32"/>
      <c r="CT160" s="32"/>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Y160" s="1"/>
      <c r="EZ160" s="1"/>
      <c r="FA160" s="1"/>
    </row>
    <row r="161" spans="9:157" ht="15.75" customHeight="1" x14ac:dyDescent="0.25">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2"/>
      <c r="AW161" s="3"/>
      <c r="AX161" s="3"/>
      <c r="AY161" s="3"/>
      <c r="AZ161" s="3"/>
      <c r="BA161" s="3"/>
      <c r="BB161" s="2"/>
      <c r="BC161" s="3"/>
      <c r="BD161" s="3"/>
      <c r="BE161" s="3"/>
      <c r="BF161" s="3"/>
      <c r="BG161" s="3"/>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3"/>
      <c r="CH161" s="3"/>
      <c r="CI161" s="3"/>
      <c r="CJ161" s="3"/>
      <c r="CK161" s="3"/>
      <c r="CL161" s="3"/>
      <c r="CM161" s="3"/>
      <c r="CN161" s="3"/>
      <c r="CO161" s="3"/>
      <c r="CP161" s="3"/>
      <c r="CQ161" s="3"/>
      <c r="CR161" s="3"/>
      <c r="CS161" s="32"/>
      <c r="CT161" s="32"/>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Y161" s="1"/>
      <c r="EZ161" s="1"/>
      <c r="FA161" s="1"/>
    </row>
    <row r="162" spans="9:157" ht="15.75" customHeight="1" x14ac:dyDescent="0.25">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2"/>
      <c r="AW162" s="3"/>
      <c r="AX162" s="3"/>
      <c r="AY162" s="3"/>
      <c r="AZ162" s="3"/>
      <c r="BA162" s="3"/>
      <c r="BB162" s="2"/>
      <c r="BC162" s="3"/>
      <c r="BD162" s="3"/>
      <c r="BE162" s="3"/>
      <c r="BF162" s="3"/>
      <c r="BG162" s="3"/>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3"/>
      <c r="CH162" s="3"/>
      <c r="CI162" s="3"/>
      <c r="CJ162" s="3"/>
      <c r="CK162" s="3"/>
      <c r="CL162" s="3"/>
      <c r="CM162" s="3"/>
      <c r="CN162" s="3"/>
      <c r="CO162" s="3"/>
      <c r="CP162" s="3"/>
      <c r="CQ162" s="3"/>
      <c r="CR162" s="3"/>
      <c r="CS162" s="32"/>
      <c r="CT162" s="32"/>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Y162" s="1"/>
      <c r="EZ162" s="1"/>
      <c r="FA162" s="1"/>
    </row>
    <row r="163" spans="9:157" ht="15.75" customHeight="1" x14ac:dyDescent="0.25">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2"/>
      <c r="AW163" s="3"/>
      <c r="AX163" s="3"/>
      <c r="AY163" s="3"/>
      <c r="AZ163" s="3"/>
      <c r="BA163" s="3"/>
      <c r="BB163" s="2"/>
      <c r="BC163" s="3"/>
      <c r="BD163" s="3"/>
      <c r="BE163" s="3"/>
      <c r="BF163" s="3"/>
      <c r="BG163" s="3"/>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3"/>
      <c r="CH163" s="3"/>
      <c r="CI163" s="3"/>
      <c r="CJ163" s="3"/>
      <c r="CK163" s="3"/>
      <c r="CL163" s="3"/>
      <c r="CM163" s="3"/>
      <c r="CN163" s="3"/>
      <c r="CO163" s="3"/>
      <c r="CP163" s="3"/>
      <c r="CQ163" s="3"/>
      <c r="CR163" s="3"/>
      <c r="CS163" s="32"/>
      <c r="CT163" s="32"/>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Y163" s="1"/>
      <c r="EZ163" s="1"/>
      <c r="FA163" s="1"/>
    </row>
    <row r="164" spans="9:157" ht="15.75" customHeight="1" x14ac:dyDescent="0.25">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2"/>
      <c r="AW164" s="3"/>
      <c r="AX164" s="3"/>
      <c r="AY164" s="3"/>
      <c r="AZ164" s="3"/>
      <c r="BA164" s="3"/>
      <c r="BB164" s="2"/>
      <c r="BC164" s="3"/>
      <c r="BD164" s="3"/>
      <c r="BE164" s="3"/>
      <c r="BF164" s="3"/>
      <c r="BG164" s="3"/>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3"/>
      <c r="CH164" s="3"/>
      <c r="CI164" s="3"/>
      <c r="CJ164" s="3"/>
      <c r="CK164" s="3"/>
      <c r="CL164" s="3"/>
      <c r="CM164" s="3"/>
      <c r="CN164" s="3"/>
      <c r="CO164" s="3"/>
      <c r="CP164" s="3"/>
      <c r="CQ164" s="3"/>
      <c r="CR164" s="3"/>
      <c r="CS164" s="32"/>
      <c r="CT164" s="32"/>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Y164" s="1"/>
      <c r="EZ164" s="1"/>
      <c r="FA164" s="1"/>
    </row>
    <row r="165" spans="9:157" ht="15.75" customHeight="1" x14ac:dyDescent="0.25">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2"/>
      <c r="AW165" s="3"/>
      <c r="AX165" s="3"/>
      <c r="AY165" s="3"/>
      <c r="AZ165" s="3"/>
      <c r="BA165" s="3"/>
      <c r="BB165" s="2"/>
      <c r="BC165" s="3"/>
      <c r="BD165" s="3"/>
      <c r="BE165" s="3"/>
      <c r="BF165" s="3"/>
      <c r="BG165" s="3"/>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3"/>
      <c r="CH165" s="3"/>
      <c r="CI165" s="3"/>
      <c r="CJ165" s="3"/>
      <c r="CK165" s="3"/>
      <c r="CL165" s="3"/>
      <c r="CM165" s="3"/>
      <c r="CN165" s="3"/>
      <c r="CO165" s="3"/>
      <c r="CP165" s="3"/>
      <c r="CQ165" s="3"/>
      <c r="CR165" s="3"/>
      <c r="CS165" s="32"/>
      <c r="CT165" s="32"/>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Y165" s="1"/>
      <c r="EZ165" s="1"/>
      <c r="FA165" s="1"/>
    </row>
    <row r="166" spans="9:157" ht="15.75" customHeight="1" x14ac:dyDescent="0.25">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2"/>
      <c r="AW166" s="3"/>
      <c r="AX166" s="3"/>
      <c r="AY166" s="3"/>
      <c r="AZ166" s="3"/>
      <c r="BA166" s="3"/>
      <c r="BB166" s="2"/>
      <c r="BC166" s="3"/>
      <c r="BD166" s="3"/>
      <c r="BE166" s="3"/>
      <c r="BF166" s="3"/>
      <c r="BG166" s="3"/>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3"/>
      <c r="CH166" s="3"/>
      <c r="CI166" s="3"/>
      <c r="CJ166" s="3"/>
      <c r="CK166" s="3"/>
      <c r="CL166" s="3"/>
      <c r="CM166" s="3"/>
      <c r="CN166" s="3"/>
      <c r="CO166" s="3"/>
      <c r="CP166" s="3"/>
      <c r="CQ166" s="3"/>
      <c r="CR166" s="3"/>
      <c r="CS166" s="32"/>
      <c r="CT166" s="32"/>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Y166" s="1"/>
      <c r="EZ166" s="1"/>
      <c r="FA166" s="1"/>
    </row>
    <row r="167" spans="9:157" ht="15.75" customHeight="1" x14ac:dyDescent="0.25">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2"/>
      <c r="AW167" s="3"/>
      <c r="AX167" s="3"/>
      <c r="AY167" s="3"/>
      <c r="AZ167" s="3"/>
      <c r="BA167" s="3"/>
      <c r="BB167" s="2"/>
      <c r="BC167" s="3"/>
      <c r="BD167" s="3"/>
      <c r="BE167" s="3"/>
      <c r="BF167" s="3"/>
      <c r="BG167" s="3"/>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3"/>
      <c r="CH167" s="3"/>
      <c r="CI167" s="3"/>
      <c r="CJ167" s="3"/>
      <c r="CK167" s="3"/>
      <c r="CL167" s="3"/>
      <c r="CM167" s="3"/>
      <c r="CN167" s="3"/>
      <c r="CO167" s="3"/>
      <c r="CP167" s="3"/>
      <c r="CQ167" s="3"/>
      <c r="CR167" s="3"/>
      <c r="CS167" s="32"/>
      <c r="CT167" s="32"/>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Y167" s="1"/>
      <c r="EZ167" s="1"/>
      <c r="FA167" s="1"/>
    </row>
    <row r="168" spans="9:157" ht="15.75" customHeight="1" x14ac:dyDescent="0.25">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2"/>
      <c r="AW168" s="3"/>
      <c r="AX168" s="3"/>
      <c r="AY168" s="3"/>
      <c r="AZ168" s="3"/>
      <c r="BA168" s="3"/>
      <c r="BB168" s="2"/>
      <c r="BC168" s="3"/>
      <c r="BD168" s="3"/>
      <c r="BE168" s="3"/>
      <c r="BF168" s="3"/>
      <c r="BG168" s="3"/>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3"/>
      <c r="CH168" s="3"/>
      <c r="CI168" s="3"/>
      <c r="CJ168" s="3"/>
      <c r="CK168" s="3"/>
      <c r="CL168" s="3"/>
      <c r="CM168" s="3"/>
      <c r="CN168" s="3"/>
      <c r="CO168" s="3"/>
      <c r="CP168" s="3"/>
      <c r="CQ168" s="3"/>
      <c r="CR168" s="3"/>
      <c r="CS168" s="32"/>
      <c r="CT168" s="32"/>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Y168" s="1"/>
      <c r="EZ168" s="1"/>
      <c r="FA168" s="1"/>
    </row>
    <row r="169" spans="9:157" ht="15.75" customHeight="1" x14ac:dyDescent="0.25">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2"/>
      <c r="AW169" s="3"/>
      <c r="AX169" s="3"/>
      <c r="AY169" s="3"/>
      <c r="AZ169" s="3"/>
      <c r="BA169" s="3"/>
      <c r="BB169" s="2"/>
      <c r="BC169" s="3"/>
      <c r="BD169" s="3"/>
      <c r="BE169" s="3"/>
      <c r="BF169" s="3"/>
      <c r="BG169" s="3"/>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3"/>
      <c r="CH169" s="3"/>
      <c r="CI169" s="3"/>
      <c r="CJ169" s="3"/>
      <c r="CK169" s="3"/>
      <c r="CL169" s="3"/>
      <c r="CM169" s="3"/>
      <c r="CN169" s="3"/>
      <c r="CO169" s="3"/>
      <c r="CP169" s="3"/>
      <c r="CQ169" s="3"/>
      <c r="CR169" s="3"/>
      <c r="CS169" s="32"/>
      <c r="CT169" s="32"/>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Y169" s="1"/>
      <c r="EZ169" s="1"/>
      <c r="FA169" s="1"/>
    </row>
    <row r="170" spans="9:157" ht="15.75" customHeight="1" x14ac:dyDescent="0.25">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2"/>
      <c r="AW170" s="3"/>
      <c r="AX170" s="3"/>
      <c r="AY170" s="3"/>
      <c r="AZ170" s="3"/>
      <c r="BA170" s="3"/>
      <c r="BB170" s="2"/>
      <c r="BC170" s="3"/>
      <c r="BD170" s="3"/>
      <c r="BE170" s="3"/>
      <c r="BF170" s="3"/>
      <c r="BG170" s="3"/>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3"/>
      <c r="CH170" s="3"/>
      <c r="CI170" s="3"/>
      <c r="CJ170" s="3"/>
      <c r="CK170" s="3"/>
      <c r="CL170" s="3"/>
      <c r="CM170" s="3"/>
      <c r="CN170" s="3"/>
      <c r="CO170" s="3"/>
      <c r="CP170" s="3"/>
      <c r="CQ170" s="3"/>
      <c r="CR170" s="3"/>
      <c r="CS170" s="32"/>
      <c r="CT170" s="32"/>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c r="ER170" s="3"/>
      <c r="ES170" s="3"/>
      <c r="EY170" s="1"/>
      <c r="EZ170" s="1"/>
      <c r="FA170" s="1"/>
    </row>
    <row r="171" spans="9:157" ht="15.75" customHeight="1" x14ac:dyDescent="0.25">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2"/>
      <c r="AW171" s="3"/>
      <c r="AX171" s="3"/>
      <c r="AY171" s="3"/>
      <c r="AZ171" s="3"/>
      <c r="BA171" s="3"/>
      <c r="BB171" s="2"/>
      <c r="BC171" s="3"/>
      <c r="BD171" s="3"/>
      <c r="BE171" s="3"/>
      <c r="BF171" s="3"/>
      <c r="BG171" s="3"/>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3"/>
      <c r="CH171" s="3"/>
      <c r="CI171" s="3"/>
      <c r="CJ171" s="3"/>
      <c r="CK171" s="3"/>
      <c r="CL171" s="3"/>
      <c r="CM171" s="3"/>
      <c r="CN171" s="3"/>
      <c r="CO171" s="3"/>
      <c r="CP171" s="3"/>
      <c r="CQ171" s="3"/>
      <c r="CR171" s="3"/>
      <c r="CS171" s="32"/>
      <c r="CT171" s="32"/>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c r="ER171" s="3"/>
      <c r="ES171" s="3"/>
      <c r="EY171" s="1"/>
      <c r="EZ171" s="1"/>
      <c r="FA171" s="1"/>
    </row>
    <row r="172" spans="9:157" ht="15.75" customHeight="1" x14ac:dyDescent="0.25">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2"/>
      <c r="AW172" s="3"/>
      <c r="AX172" s="3"/>
      <c r="AY172" s="3"/>
      <c r="AZ172" s="3"/>
      <c r="BA172" s="3"/>
      <c r="BB172" s="2"/>
      <c r="BC172" s="3"/>
      <c r="BD172" s="3"/>
      <c r="BE172" s="3"/>
      <c r="BF172" s="3"/>
      <c r="BG172" s="3"/>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3"/>
      <c r="CH172" s="3"/>
      <c r="CI172" s="3"/>
      <c r="CJ172" s="3"/>
      <c r="CK172" s="3"/>
      <c r="CL172" s="3"/>
      <c r="CM172" s="3"/>
      <c r="CN172" s="3"/>
      <c r="CO172" s="3"/>
      <c r="CP172" s="3"/>
      <c r="CQ172" s="3"/>
      <c r="CR172" s="3"/>
      <c r="CS172" s="32"/>
      <c r="CT172" s="32"/>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Y172" s="1"/>
      <c r="EZ172" s="1"/>
      <c r="FA172" s="1"/>
    </row>
    <row r="173" spans="9:157" ht="15.75" customHeight="1" x14ac:dyDescent="0.25">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2"/>
      <c r="AW173" s="3"/>
      <c r="AX173" s="3"/>
      <c r="AY173" s="3"/>
      <c r="AZ173" s="3"/>
      <c r="BA173" s="3"/>
      <c r="BB173" s="2"/>
      <c r="BC173" s="3"/>
      <c r="BD173" s="3"/>
      <c r="BE173" s="3"/>
      <c r="BF173" s="3"/>
      <c r="BG173" s="3"/>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3"/>
      <c r="CH173" s="3"/>
      <c r="CI173" s="3"/>
      <c r="CJ173" s="3"/>
      <c r="CK173" s="3"/>
      <c r="CL173" s="3"/>
      <c r="CM173" s="3"/>
      <c r="CN173" s="3"/>
      <c r="CO173" s="3"/>
      <c r="CP173" s="3"/>
      <c r="CQ173" s="3"/>
      <c r="CR173" s="3"/>
      <c r="CS173" s="32"/>
      <c r="CT173" s="32"/>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c r="ER173" s="3"/>
      <c r="ES173" s="3"/>
      <c r="EY173" s="1"/>
      <c r="EZ173" s="1"/>
      <c r="FA173" s="1"/>
    </row>
    <row r="174" spans="9:157" ht="15.75" customHeight="1" x14ac:dyDescent="0.25">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2"/>
      <c r="AW174" s="3"/>
      <c r="AX174" s="3"/>
      <c r="AY174" s="3"/>
      <c r="AZ174" s="3"/>
      <c r="BA174" s="3"/>
      <c r="BB174" s="2"/>
      <c r="BC174" s="3"/>
      <c r="BD174" s="3"/>
      <c r="BE174" s="3"/>
      <c r="BF174" s="3"/>
      <c r="BG174" s="3"/>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3"/>
      <c r="CH174" s="3"/>
      <c r="CI174" s="3"/>
      <c r="CJ174" s="3"/>
      <c r="CK174" s="3"/>
      <c r="CL174" s="3"/>
      <c r="CM174" s="3"/>
      <c r="CN174" s="3"/>
      <c r="CO174" s="3"/>
      <c r="CP174" s="3"/>
      <c r="CQ174" s="3"/>
      <c r="CR174" s="3"/>
      <c r="CS174" s="32"/>
      <c r="CT174" s="32"/>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c r="ER174" s="3"/>
      <c r="ES174" s="3"/>
      <c r="EY174" s="1"/>
      <c r="EZ174" s="1"/>
      <c r="FA174" s="1"/>
    </row>
    <row r="175" spans="9:157" ht="15.75" customHeight="1" x14ac:dyDescent="0.25">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2"/>
      <c r="AW175" s="3"/>
      <c r="AX175" s="3"/>
      <c r="AY175" s="3"/>
      <c r="AZ175" s="3"/>
      <c r="BA175" s="3"/>
      <c r="BB175" s="2"/>
      <c r="BC175" s="3"/>
      <c r="BD175" s="3"/>
      <c r="BE175" s="3"/>
      <c r="BF175" s="3"/>
      <c r="BG175" s="3"/>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3"/>
      <c r="CH175" s="3"/>
      <c r="CI175" s="3"/>
      <c r="CJ175" s="3"/>
      <c r="CK175" s="3"/>
      <c r="CL175" s="3"/>
      <c r="CM175" s="3"/>
      <c r="CN175" s="3"/>
      <c r="CO175" s="3"/>
      <c r="CP175" s="3"/>
      <c r="CQ175" s="3"/>
      <c r="CR175" s="3"/>
      <c r="CS175" s="32"/>
      <c r="CT175" s="32"/>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Y175" s="1"/>
      <c r="EZ175" s="1"/>
      <c r="FA175" s="1"/>
    </row>
    <row r="176" spans="9:157" ht="15.75" customHeight="1" x14ac:dyDescent="0.25">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2"/>
      <c r="AW176" s="3"/>
      <c r="AX176" s="3"/>
      <c r="AY176" s="3"/>
      <c r="AZ176" s="3"/>
      <c r="BA176" s="3"/>
      <c r="BB176" s="2"/>
      <c r="BC176" s="3"/>
      <c r="BD176" s="3"/>
      <c r="BE176" s="3"/>
      <c r="BF176" s="3"/>
      <c r="BG176" s="3"/>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3"/>
      <c r="CH176" s="3"/>
      <c r="CI176" s="3"/>
      <c r="CJ176" s="3"/>
      <c r="CK176" s="3"/>
      <c r="CL176" s="3"/>
      <c r="CM176" s="3"/>
      <c r="CN176" s="3"/>
      <c r="CO176" s="3"/>
      <c r="CP176" s="3"/>
      <c r="CQ176" s="3"/>
      <c r="CR176" s="3"/>
      <c r="CS176" s="32"/>
      <c r="CT176" s="32"/>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Y176" s="1"/>
      <c r="EZ176" s="1"/>
      <c r="FA176" s="1"/>
    </row>
    <row r="177" spans="9:157" ht="15.75" customHeight="1" x14ac:dyDescent="0.25">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2"/>
      <c r="AW177" s="3"/>
      <c r="AX177" s="3"/>
      <c r="AY177" s="3"/>
      <c r="AZ177" s="3"/>
      <c r="BA177" s="3"/>
      <c r="BB177" s="2"/>
      <c r="BC177" s="3"/>
      <c r="BD177" s="3"/>
      <c r="BE177" s="3"/>
      <c r="BF177" s="3"/>
      <c r="BG177" s="3"/>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3"/>
      <c r="CH177" s="3"/>
      <c r="CI177" s="3"/>
      <c r="CJ177" s="3"/>
      <c r="CK177" s="3"/>
      <c r="CL177" s="3"/>
      <c r="CM177" s="3"/>
      <c r="CN177" s="3"/>
      <c r="CO177" s="3"/>
      <c r="CP177" s="3"/>
      <c r="CQ177" s="3"/>
      <c r="CR177" s="3"/>
      <c r="CS177" s="32"/>
      <c r="CT177" s="32"/>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Y177" s="1"/>
      <c r="EZ177" s="1"/>
      <c r="FA177" s="1"/>
    </row>
    <row r="178" spans="9:157" ht="15.75" customHeight="1" x14ac:dyDescent="0.25">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2"/>
      <c r="AW178" s="3"/>
      <c r="AX178" s="3"/>
      <c r="AY178" s="3"/>
      <c r="AZ178" s="3"/>
      <c r="BA178" s="3"/>
      <c r="BB178" s="2"/>
      <c r="BC178" s="3"/>
      <c r="BD178" s="3"/>
      <c r="BE178" s="3"/>
      <c r="BF178" s="3"/>
      <c r="BG178" s="3"/>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3"/>
      <c r="CH178" s="3"/>
      <c r="CI178" s="3"/>
      <c r="CJ178" s="3"/>
      <c r="CK178" s="3"/>
      <c r="CL178" s="3"/>
      <c r="CM178" s="3"/>
      <c r="CN178" s="3"/>
      <c r="CO178" s="3"/>
      <c r="CP178" s="3"/>
      <c r="CQ178" s="3"/>
      <c r="CR178" s="3"/>
      <c r="CS178" s="32"/>
      <c r="CT178" s="32"/>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Y178" s="1"/>
      <c r="EZ178" s="1"/>
      <c r="FA178" s="1"/>
    </row>
    <row r="179" spans="9:157" ht="15.75" customHeight="1" x14ac:dyDescent="0.25">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2"/>
      <c r="AW179" s="3"/>
      <c r="AX179" s="3"/>
      <c r="AY179" s="3"/>
      <c r="AZ179" s="3"/>
      <c r="BA179" s="3"/>
      <c r="BB179" s="2"/>
      <c r="BC179" s="3"/>
      <c r="BD179" s="3"/>
      <c r="BE179" s="3"/>
      <c r="BF179" s="3"/>
      <c r="BG179" s="3"/>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3"/>
      <c r="CH179" s="3"/>
      <c r="CI179" s="3"/>
      <c r="CJ179" s="3"/>
      <c r="CK179" s="3"/>
      <c r="CL179" s="3"/>
      <c r="CM179" s="3"/>
      <c r="CN179" s="3"/>
      <c r="CO179" s="3"/>
      <c r="CP179" s="3"/>
      <c r="CQ179" s="3"/>
      <c r="CR179" s="3"/>
      <c r="CS179" s="32"/>
      <c r="CT179" s="32"/>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c r="ER179" s="3"/>
      <c r="ES179" s="3"/>
      <c r="EY179" s="1"/>
      <c r="EZ179" s="1"/>
      <c r="FA179" s="1"/>
    </row>
    <row r="180" spans="9:157" ht="15.75" customHeight="1" x14ac:dyDescent="0.25">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2"/>
      <c r="AW180" s="3"/>
      <c r="AX180" s="3"/>
      <c r="AY180" s="3"/>
      <c r="AZ180" s="3"/>
      <c r="BA180" s="3"/>
      <c r="BB180" s="2"/>
      <c r="BC180" s="3"/>
      <c r="BD180" s="3"/>
      <c r="BE180" s="3"/>
      <c r="BF180" s="3"/>
      <c r="BG180" s="3"/>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3"/>
      <c r="CH180" s="3"/>
      <c r="CI180" s="3"/>
      <c r="CJ180" s="3"/>
      <c r="CK180" s="3"/>
      <c r="CL180" s="3"/>
      <c r="CM180" s="3"/>
      <c r="CN180" s="3"/>
      <c r="CO180" s="3"/>
      <c r="CP180" s="3"/>
      <c r="CQ180" s="3"/>
      <c r="CR180" s="3"/>
      <c r="CS180" s="32"/>
      <c r="CT180" s="32"/>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c r="ER180" s="3"/>
      <c r="ES180" s="3"/>
      <c r="EY180" s="1"/>
      <c r="EZ180" s="1"/>
      <c r="FA180" s="1"/>
    </row>
    <row r="181" spans="9:157" ht="15.75" customHeight="1" x14ac:dyDescent="0.25">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2"/>
      <c r="AW181" s="3"/>
      <c r="AX181" s="3"/>
      <c r="AY181" s="3"/>
      <c r="AZ181" s="3"/>
      <c r="BA181" s="3"/>
      <c r="BB181" s="2"/>
      <c r="BC181" s="3"/>
      <c r="BD181" s="3"/>
      <c r="BE181" s="3"/>
      <c r="BF181" s="3"/>
      <c r="BG181" s="3"/>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3"/>
      <c r="CH181" s="3"/>
      <c r="CI181" s="3"/>
      <c r="CJ181" s="3"/>
      <c r="CK181" s="3"/>
      <c r="CL181" s="3"/>
      <c r="CM181" s="3"/>
      <c r="CN181" s="3"/>
      <c r="CO181" s="3"/>
      <c r="CP181" s="3"/>
      <c r="CQ181" s="3"/>
      <c r="CR181" s="3"/>
      <c r="CS181" s="32"/>
      <c r="CT181" s="32"/>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Y181" s="1"/>
      <c r="EZ181" s="1"/>
      <c r="FA181" s="1"/>
    </row>
    <row r="182" spans="9:157" ht="15.75" customHeight="1" x14ac:dyDescent="0.25">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2"/>
      <c r="AW182" s="3"/>
      <c r="AX182" s="3"/>
      <c r="AY182" s="3"/>
      <c r="AZ182" s="3"/>
      <c r="BA182" s="3"/>
      <c r="BB182" s="2"/>
      <c r="BC182" s="3"/>
      <c r="BD182" s="3"/>
      <c r="BE182" s="3"/>
      <c r="BF182" s="3"/>
      <c r="BG182" s="3"/>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3"/>
      <c r="CH182" s="3"/>
      <c r="CI182" s="3"/>
      <c r="CJ182" s="3"/>
      <c r="CK182" s="3"/>
      <c r="CL182" s="3"/>
      <c r="CM182" s="3"/>
      <c r="CN182" s="3"/>
      <c r="CO182" s="3"/>
      <c r="CP182" s="3"/>
      <c r="CQ182" s="3"/>
      <c r="CR182" s="3"/>
      <c r="CS182" s="32"/>
      <c r="CT182" s="32"/>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Y182" s="1"/>
      <c r="EZ182" s="1"/>
      <c r="FA182" s="1"/>
    </row>
    <row r="183" spans="9:157" ht="15.75" customHeight="1" x14ac:dyDescent="0.25">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2"/>
      <c r="AW183" s="3"/>
      <c r="AX183" s="3"/>
      <c r="AY183" s="3"/>
      <c r="AZ183" s="3"/>
      <c r="BA183" s="3"/>
      <c r="BB183" s="2"/>
      <c r="BC183" s="3"/>
      <c r="BD183" s="3"/>
      <c r="BE183" s="3"/>
      <c r="BF183" s="3"/>
      <c r="BG183" s="3"/>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3"/>
      <c r="CH183" s="3"/>
      <c r="CI183" s="3"/>
      <c r="CJ183" s="3"/>
      <c r="CK183" s="3"/>
      <c r="CL183" s="3"/>
      <c r="CM183" s="3"/>
      <c r="CN183" s="3"/>
      <c r="CO183" s="3"/>
      <c r="CP183" s="3"/>
      <c r="CQ183" s="3"/>
      <c r="CR183" s="3"/>
      <c r="CS183" s="32"/>
      <c r="CT183" s="32"/>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Y183" s="1"/>
      <c r="EZ183" s="1"/>
      <c r="FA183" s="1"/>
    </row>
    <row r="184" spans="9:157" ht="15.75" customHeight="1" x14ac:dyDescent="0.25">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2"/>
      <c r="AW184" s="3"/>
      <c r="AX184" s="3"/>
      <c r="AY184" s="3"/>
      <c r="AZ184" s="3"/>
      <c r="BA184" s="3"/>
      <c r="BB184" s="2"/>
      <c r="BC184" s="3"/>
      <c r="BD184" s="3"/>
      <c r="BE184" s="3"/>
      <c r="BF184" s="3"/>
      <c r="BG184" s="3"/>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3"/>
      <c r="CH184" s="3"/>
      <c r="CI184" s="3"/>
      <c r="CJ184" s="3"/>
      <c r="CK184" s="3"/>
      <c r="CL184" s="3"/>
      <c r="CM184" s="3"/>
      <c r="CN184" s="3"/>
      <c r="CO184" s="3"/>
      <c r="CP184" s="3"/>
      <c r="CQ184" s="3"/>
      <c r="CR184" s="3"/>
      <c r="CS184" s="32"/>
      <c r="CT184" s="32"/>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c r="ER184" s="3"/>
      <c r="ES184" s="3"/>
      <c r="EY184" s="1"/>
      <c r="EZ184" s="1"/>
      <c r="FA184" s="1"/>
    </row>
    <row r="185" spans="9:157" ht="15.75" customHeight="1" x14ac:dyDescent="0.25">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2"/>
      <c r="AW185" s="3"/>
      <c r="AX185" s="3"/>
      <c r="AY185" s="3"/>
      <c r="AZ185" s="3"/>
      <c r="BA185" s="3"/>
      <c r="BB185" s="2"/>
      <c r="BC185" s="3"/>
      <c r="BD185" s="3"/>
      <c r="BE185" s="3"/>
      <c r="BF185" s="3"/>
      <c r="BG185" s="3"/>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3"/>
      <c r="CH185" s="3"/>
      <c r="CI185" s="3"/>
      <c r="CJ185" s="3"/>
      <c r="CK185" s="3"/>
      <c r="CL185" s="3"/>
      <c r="CM185" s="3"/>
      <c r="CN185" s="3"/>
      <c r="CO185" s="3"/>
      <c r="CP185" s="3"/>
      <c r="CQ185" s="3"/>
      <c r="CR185" s="3"/>
      <c r="CS185" s="32"/>
      <c r="CT185" s="32"/>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Y185" s="1"/>
      <c r="EZ185" s="1"/>
      <c r="FA185" s="1"/>
    </row>
    <row r="186" spans="9:157" ht="15.75" customHeight="1" x14ac:dyDescent="0.25">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2"/>
      <c r="AW186" s="3"/>
      <c r="AX186" s="3"/>
      <c r="AY186" s="3"/>
      <c r="AZ186" s="3"/>
      <c r="BA186" s="3"/>
      <c r="BB186" s="2"/>
      <c r="BC186" s="3"/>
      <c r="BD186" s="3"/>
      <c r="BE186" s="3"/>
      <c r="BF186" s="3"/>
      <c r="BG186" s="3"/>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3"/>
      <c r="CH186" s="3"/>
      <c r="CI186" s="3"/>
      <c r="CJ186" s="3"/>
      <c r="CK186" s="3"/>
      <c r="CL186" s="3"/>
      <c r="CM186" s="3"/>
      <c r="CN186" s="3"/>
      <c r="CO186" s="3"/>
      <c r="CP186" s="3"/>
      <c r="CQ186" s="3"/>
      <c r="CR186" s="3"/>
      <c r="CS186" s="32"/>
      <c r="CT186" s="32"/>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Y186" s="1"/>
      <c r="EZ186" s="1"/>
      <c r="FA186" s="1"/>
    </row>
    <row r="187" spans="9:157" ht="15.75" customHeight="1" x14ac:dyDescent="0.25">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2"/>
      <c r="AW187" s="3"/>
      <c r="AX187" s="3"/>
      <c r="AY187" s="3"/>
      <c r="AZ187" s="3"/>
      <c r="BA187" s="3"/>
      <c r="BB187" s="2"/>
      <c r="BC187" s="3"/>
      <c r="BD187" s="3"/>
      <c r="BE187" s="3"/>
      <c r="BF187" s="3"/>
      <c r="BG187" s="3"/>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3"/>
      <c r="CH187" s="3"/>
      <c r="CI187" s="3"/>
      <c r="CJ187" s="3"/>
      <c r="CK187" s="3"/>
      <c r="CL187" s="3"/>
      <c r="CM187" s="3"/>
      <c r="CN187" s="3"/>
      <c r="CO187" s="3"/>
      <c r="CP187" s="3"/>
      <c r="CQ187" s="3"/>
      <c r="CR187" s="3"/>
      <c r="CS187" s="32"/>
      <c r="CT187" s="32"/>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Y187" s="1"/>
      <c r="EZ187" s="1"/>
      <c r="FA187" s="1"/>
    </row>
    <row r="188" spans="9:157" ht="15.75" customHeight="1" x14ac:dyDescent="0.25">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2"/>
      <c r="AW188" s="3"/>
      <c r="AX188" s="3"/>
      <c r="AY188" s="3"/>
      <c r="AZ188" s="3"/>
      <c r="BA188" s="3"/>
      <c r="BB188" s="2"/>
      <c r="BC188" s="3"/>
      <c r="BD188" s="3"/>
      <c r="BE188" s="3"/>
      <c r="BF188" s="3"/>
      <c r="BG188" s="3"/>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3"/>
      <c r="CH188" s="3"/>
      <c r="CI188" s="3"/>
      <c r="CJ188" s="3"/>
      <c r="CK188" s="3"/>
      <c r="CL188" s="3"/>
      <c r="CM188" s="3"/>
      <c r="CN188" s="3"/>
      <c r="CO188" s="3"/>
      <c r="CP188" s="3"/>
      <c r="CQ188" s="3"/>
      <c r="CR188" s="3"/>
      <c r="CS188" s="32"/>
      <c r="CT188" s="32"/>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Y188" s="1"/>
      <c r="EZ188" s="1"/>
      <c r="FA188" s="1"/>
    </row>
    <row r="189" spans="9:157" ht="15.75" customHeight="1" x14ac:dyDescent="0.25">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2"/>
      <c r="AW189" s="3"/>
      <c r="AX189" s="3"/>
      <c r="AY189" s="3"/>
      <c r="AZ189" s="3"/>
      <c r="BA189" s="3"/>
      <c r="BB189" s="2"/>
      <c r="BC189" s="3"/>
      <c r="BD189" s="3"/>
      <c r="BE189" s="3"/>
      <c r="BF189" s="3"/>
      <c r="BG189" s="3"/>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3"/>
      <c r="CH189" s="3"/>
      <c r="CI189" s="3"/>
      <c r="CJ189" s="3"/>
      <c r="CK189" s="3"/>
      <c r="CL189" s="3"/>
      <c r="CM189" s="3"/>
      <c r="CN189" s="3"/>
      <c r="CO189" s="3"/>
      <c r="CP189" s="3"/>
      <c r="CQ189" s="3"/>
      <c r="CR189" s="3"/>
      <c r="CS189" s="32"/>
      <c r="CT189" s="32"/>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Y189" s="1"/>
      <c r="EZ189" s="1"/>
      <c r="FA189" s="1"/>
    </row>
    <row r="190" spans="9:157" ht="15.75" customHeight="1" x14ac:dyDescent="0.25">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2"/>
      <c r="AW190" s="3"/>
      <c r="AX190" s="3"/>
      <c r="AY190" s="3"/>
      <c r="AZ190" s="3"/>
      <c r="BA190" s="3"/>
      <c r="BB190" s="2"/>
      <c r="BC190" s="3"/>
      <c r="BD190" s="3"/>
      <c r="BE190" s="3"/>
      <c r="BF190" s="3"/>
      <c r="BG190" s="3"/>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3"/>
      <c r="CH190" s="3"/>
      <c r="CI190" s="3"/>
      <c r="CJ190" s="3"/>
      <c r="CK190" s="3"/>
      <c r="CL190" s="3"/>
      <c r="CM190" s="3"/>
      <c r="CN190" s="3"/>
      <c r="CO190" s="3"/>
      <c r="CP190" s="3"/>
      <c r="CQ190" s="3"/>
      <c r="CR190" s="3"/>
      <c r="CS190" s="32"/>
      <c r="CT190" s="32"/>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Y190" s="1"/>
      <c r="EZ190" s="1"/>
      <c r="FA190" s="1"/>
    </row>
    <row r="191" spans="9:157" ht="15.75" customHeight="1" x14ac:dyDescent="0.25">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2"/>
      <c r="AW191" s="3"/>
      <c r="AX191" s="3"/>
      <c r="AY191" s="3"/>
      <c r="AZ191" s="3"/>
      <c r="BA191" s="3"/>
      <c r="BB191" s="2"/>
      <c r="BC191" s="3"/>
      <c r="BD191" s="3"/>
      <c r="BE191" s="3"/>
      <c r="BF191" s="3"/>
      <c r="BG191" s="3"/>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3"/>
      <c r="CH191" s="3"/>
      <c r="CI191" s="3"/>
      <c r="CJ191" s="3"/>
      <c r="CK191" s="3"/>
      <c r="CL191" s="3"/>
      <c r="CM191" s="3"/>
      <c r="CN191" s="3"/>
      <c r="CO191" s="3"/>
      <c r="CP191" s="3"/>
      <c r="CQ191" s="3"/>
      <c r="CR191" s="3"/>
      <c r="CS191" s="32"/>
      <c r="CT191" s="32"/>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Y191" s="1"/>
      <c r="EZ191" s="1"/>
      <c r="FA191" s="1"/>
    </row>
    <row r="192" spans="9:157" ht="15.75" customHeight="1" x14ac:dyDescent="0.25">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2"/>
      <c r="AW192" s="3"/>
      <c r="AX192" s="3"/>
      <c r="AY192" s="3"/>
      <c r="AZ192" s="3"/>
      <c r="BA192" s="3"/>
      <c r="BB192" s="2"/>
      <c r="BC192" s="3"/>
      <c r="BD192" s="3"/>
      <c r="BE192" s="3"/>
      <c r="BF192" s="3"/>
      <c r="BG192" s="3"/>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3"/>
      <c r="CH192" s="3"/>
      <c r="CI192" s="3"/>
      <c r="CJ192" s="3"/>
      <c r="CK192" s="3"/>
      <c r="CL192" s="3"/>
      <c r="CM192" s="3"/>
      <c r="CN192" s="3"/>
      <c r="CO192" s="3"/>
      <c r="CP192" s="3"/>
      <c r="CQ192" s="3"/>
      <c r="CR192" s="3"/>
      <c r="CS192" s="32"/>
      <c r="CT192" s="32"/>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Y192" s="1"/>
      <c r="EZ192" s="1"/>
      <c r="FA192" s="1"/>
    </row>
    <row r="193" spans="9:157" ht="15.75" customHeight="1" x14ac:dyDescent="0.25">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2"/>
      <c r="AW193" s="3"/>
      <c r="AX193" s="3"/>
      <c r="AY193" s="3"/>
      <c r="AZ193" s="3"/>
      <c r="BA193" s="3"/>
      <c r="BB193" s="2"/>
      <c r="BC193" s="3"/>
      <c r="BD193" s="3"/>
      <c r="BE193" s="3"/>
      <c r="BF193" s="3"/>
      <c r="BG193" s="3"/>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3"/>
      <c r="CH193" s="3"/>
      <c r="CI193" s="3"/>
      <c r="CJ193" s="3"/>
      <c r="CK193" s="3"/>
      <c r="CL193" s="3"/>
      <c r="CM193" s="3"/>
      <c r="CN193" s="3"/>
      <c r="CO193" s="3"/>
      <c r="CP193" s="3"/>
      <c r="CQ193" s="3"/>
      <c r="CR193" s="3"/>
      <c r="CS193" s="32"/>
      <c r="CT193" s="32"/>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Y193" s="1"/>
      <c r="EZ193" s="1"/>
      <c r="FA193" s="1"/>
    </row>
    <row r="194" spans="9:157" ht="15.75" customHeight="1" x14ac:dyDescent="0.25">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2"/>
      <c r="AW194" s="3"/>
      <c r="AX194" s="3"/>
      <c r="AY194" s="3"/>
      <c r="AZ194" s="3"/>
      <c r="BA194" s="3"/>
      <c r="BB194" s="2"/>
      <c r="BC194" s="3"/>
      <c r="BD194" s="3"/>
      <c r="BE194" s="3"/>
      <c r="BF194" s="3"/>
      <c r="BG194" s="3"/>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3"/>
      <c r="CH194" s="3"/>
      <c r="CI194" s="3"/>
      <c r="CJ194" s="3"/>
      <c r="CK194" s="3"/>
      <c r="CL194" s="3"/>
      <c r="CM194" s="3"/>
      <c r="CN194" s="3"/>
      <c r="CO194" s="3"/>
      <c r="CP194" s="3"/>
      <c r="CQ194" s="3"/>
      <c r="CR194" s="3"/>
      <c r="CS194" s="32"/>
      <c r="CT194" s="32"/>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Y194" s="1"/>
      <c r="EZ194" s="1"/>
      <c r="FA194" s="1"/>
    </row>
    <row r="195" spans="9:157" ht="15.75" customHeight="1" x14ac:dyDescent="0.25">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2"/>
      <c r="AW195" s="3"/>
      <c r="AX195" s="3"/>
      <c r="AY195" s="3"/>
      <c r="AZ195" s="3"/>
      <c r="BA195" s="3"/>
      <c r="BB195" s="2"/>
      <c r="BC195" s="3"/>
      <c r="BD195" s="3"/>
      <c r="BE195" s="3"/>
      <c r="BF195" s="3"/>
      <c r="BG195" s="3"/>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3"/>
      <c r="CH195" s="3"/>
      <c r="CI195" s="3"/>
      <c r="CJ195" s="3"/>
      <c r="CK195" s="3"/>
      <c r="CL195" s="3"/>
      <c r="CM195" s="3"/>
      <c r="CN195" s="3"/>
      <c r="CO195" s="3"/>
      <c r="CP195" s="3"/>
      <c r="CQ195" s="3"/>
      <c r="CR195" s="3"/>
      <c r="CS195" s="32"/>
      <c r="CT195" s="32"/>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Y195" s="1"/>
      <c r="EZ195" s="1"/>
      <c r="FA195" s="1"/>
    </row>
    <row r="196" spans="9:157" ht="15.75" customHeight="1" x14ac:dyDescent="0.25">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2"/>
      <c r="AW196" s="3"/>
      <c r="AX196" s="3"/>
      <c r="AY196" s="3"/>
      <c r="AZ196" s="3"/>
      <c r="BA196" s="3"/>
      <c r="BB196" s="2"/>
      <c r="BC196" s="3"/>
      <c r="BD196" s="3"/>
      <c r="BE196" s="3"/>
      <c r="BF196" s="3"/>
      <c r="BG196" s="3"/>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3"/>
      <c r="CH196" s="3"/>
      <c r="CI196" s="3"/>
      <c r="CJ196" s="3"/>
      <c r="CK196" s="3"/>
      <c r="CL196" s="3"/>
      <c r="CM196" s="3"/>
      <c r="CN196" s="3"/>
      <c r="CO196" s="3"/>
      <c r="CP196" s="3"/>
      <c r="CQ196" s="3"/>
      <c r="CR196" s="3"/>
      <c r="CS196" s="32"/>
      <c r="CT196" s="32"/>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Y196" s="1"/>
      <c r="EZ196" s="1"/>
      <c r="FA196" s="1"/>
    </row>
    <row r="197" spans="9:157" ht="15.75" customHeight="1" x14ac:dyDescent="0.25">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2"/>
      <c r="AW197" s="3"/>
      <c r="AX197" s="3"/>
      <c r="AY197" s="3"/>
      <c r="AZ197" s="3"/>
      <c r="BA197" s="3"/>
      <c r="BB197" s="2"/>
      <c r="BC197" s="3"/>
      <c r="BD197" s="3"/>
      <c r="BE197" s="3"/>
      <c r="BF197" s="3"/>
      <c r="BG197" s="3"/>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3"/>
      <c r="CH197" s="3"/>
      <c r="CI197" s="3"/>
      <c r="CJ197" s="3"/>
      <c r="CK197" s="3"/>
      <c r="CL197" s="3"/>
      <c r="CM197" s="3"/>
      <c r="CN197" s="3"/>
      <c r="CO197" s="3"/>
      <c r="CP197" s="3"/>
      <c r="CQ197" s="3"/>
      <c r="CR197" s="3"/>
      <c r="CS197" s="32"/>
      <c r="CT197" s="32"/>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Y197" s="1"/>
      <c r="EZ197" s="1"/>
      <c r="FA197" s="1"/>
    </row>
    <row r="198" spans="9:157" ht="15.75" customHeight="1" x14ac:dyDescent="0.25">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2"/>
      <c r="AW198" s="3"/>
      <c r="AX198" s="3"/>
      <c r="AY198" s="3"/>
      <c r="AZ198" s="3"/>
      <c r="BA198" s="3"/>
      <c r="BB198" s="2"/>
      <c r="BC198" s="3"/>
      <c r="BD198" s="3"/>
      <c r="BE198" s="3"/>
      <c r="BF198" s="3"/>
      <c r="BG198" s="3"/>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3"/>
      <c r="CH198" s="3"/>
      <c r="CI198" s="3"/>
      <c r="CJ198" s="3"/>
      <c r="CK198" s="3"/>
      <c r="CL198" s="3"/>
      <c r="CM198" s="3"/>
      <c r="CN198" s="3"/>
      <c r="CO198" s="3"/>
      <c r="CP198" s="3"/>
      <c r="CQ198" s="3"/>
      <c r="CR198" s="3"/>
      <c r="CS198" s="32"/>
      <c r="CT198" s="32"/>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Y198" s="1"/>
      <c r="EZ198" s="1"/>
      <c r="FA198" s="1"/>
    </row>
    <row r="199" spans="9:157" ht="15.75" customHeight="1" x14ac:dyDescent="0.25">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2"/>
      <c r="AW199" s="3"/>
      <c r="AX199" s="3"/>
      <c r="AY199" s="3"/>
      <c r="AZ199" s="3"/>
      <c r="BA199" s="3"/>
      <c r="BB199" s="2"/>
      <c r="BC199" s="3"/>
      <c r="BD199" s="3"/>
      <c r="BE199" s="3"/>
      <c r="BF199" s="3"/>
      <c r="BG199" s="3"/>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3"/>
      <c r="CH199" s="3"/>
      <c r="CI199" s="3"/>
      <c r="CJ199" s="3"/>
      <c r="CK199" s="3"/>
      <c r="CL199" s="3"/>
      <c r="CM199" s="3"/>
      <c r="CN199" s="3"/>
      <c r="CO199" s="3"/>
      <c r="CP199" s="3"/>
      <c r="CQ199" s="3"/>
      <c r="CR199" s="3"/>
      <c r="CS199" s="32"/>
      <c r="CT199" s="32"/>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Y199" s="1"/>
      <c r="EZ199" s="1"/>
      <c r="FA199" s="1"/>
    </row>
    <row r="200" spans="9:157" ht="15.75" customHeight="1" x14ac:dyDescent="0.25">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2"/>
      <c r="AW200" s="3"/>
      <c r="AX200" s="3"/>
      <c r="AY200" s="3"/>
      <c r="AZ200" s="3"/>
      <c r="BA200" s="3"/>
      <c r="BB200" s="2"/>
      <c r="BC200" s="3"/>
      <c r="BD200" s="3"/>
      <c r="BE200" s="3"/>
      <c r="BF200" s="3"/>
      <c r="BG200" s="3"/>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3"/>
      <c r="CH200" s="3"/>
      <c r="CI200" s="3"/>
      <c r="CJ200" s="3"/>
      <c r="CK200" s="3"/>
      <c r="CL200" s="3"/>
      <c r="CM200" s="3"/>
      <c r="CN200" s="3"/>
      <c r="CO200" s="3"/>
      <c r="CP200" s="3"/>
      <c r="CQ200" s="3"/>
      <c r="CR200" s="3"/>
      <c r="CS200" s="32"/>
      <c r="CT200" s="32"/>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Y200" s="1"/>
      <c r="EZ200" s="1"/>
      <c r="FA200" s="1"/>
    </row>
    <row r="201" spans="9:157" ht="15.75" customHeight="1" x14ac:dyDescent="0.25">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2"/>
      <c r="AW201" s="3"/>
      <c r="AX201" s="3"/>
      <c r="AY201" s="3"/>
      <c r="AZ201" s="3"/>
      <c r="BA201" s="3"/>
      <c r="BB201" s="2"/>
      <c r="BC201" s="3"/>
      <c r="BD201" s="3"/>
      <c r="BE201" s="3"/>
      <c r="BF201" s="3"/>
      <c r="BG201" s="3"/>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3"/>
      <c r="CH201" s="3"/>
      <c r="CI201" s="3"/>
      <c r="CJ201" s="3"/>
      <c r="CK201" s="3"/>
      <c r="CL201" s="3"/>
      <c r="CM201" s="3"/>
      <c r="CN201" s="3"/>
      <c r="CO201" s="3"/>
      <c r="CP201" s="3"/>
      <c r="CQ201" s="3"/>
      <c r="CR201" s="3"/>
      <c r="CS201" s="32"/>
      <c r="CT201" s="32"/>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Y201" s="1"/>
      <c r="EZ201" s="1"/>
      <c r="FA201" s="1"/>
    </row>
    <row r="202" spans="9:157" ht="15.75" customHeight="1" x14ac:dyDescent="0.25">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2"/>
      <c r="AW202" s="3"/>
      <c r="AX202" s="3"/>
      <c r="AY202" s="3"/>
      <c r="AZ202" s="3"/>
      <c r="BA202" s="3"/>
      <c r="BB202" s="2"/>
      <c r="BC202" s="3"/>
      <c r="BD202" s="3"/>
      <c r="BE202" s="3"/>
      <c r="BF202" s="3"/>
      <c r="BG202" s="3"/>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3"/>
      <c r="CH202" s="3"/>
      <c r="CI202" s="3"/>
      <c r="CJ202" s="3"/>
      <c r="CK202" s="3"/>
      <c r="CL202" s="3"/>
      <c r="CM202" s="3"/>
      <c r="CN202" s="3"/>
      <c r="CO202" s="3"/>
      <c r="CP202" s="3"/>
      <c r="CQ202" s="3"/>
      <c r="CR202" s="3"/>
      <c r="CS202" s="32"/>
      <c r="CT202" s="32"/>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Y202" s="1"/>
      <c r="EZ202" s="1"/>
      <c r="FA202" s="1"/>
    </row>
    <row r="203" spans="9:157" ht="15.75" customHeight="1" x14ac:dyDescent="0.25">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2"/>
      <c r="AW203" s="3"/>
      <c r="AX203" s="3"/>
      <c r="AY203" s="3"/>
      <c r="AZ203" s="3"/>
      <c r="BA203" s="3"/>
      <c r="BB203" s="2"/>
      <c r="BC203" s="3"/>
      <c r="BD203" s="3"/>
      <c r="BE203" s="3"/>
      <c r="BF203" s="3"/>
      <c r="BG203" s="3"/>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3"/>
      <c r="CH203" s="3"/>
      <c r="CI203" s="3"/>
      <c r="CJ203" s="3"/>
      <c r="CK203" s="3"/>
      <c r="CL203" s="3"/>
      <c r="CM203" s="3"/>
      <c r="CN203" s="3"/>
      <c r="CO203" s="3"/>
      <c r="CP203" s="3"/>
      <c r="CQ203" s="3"/>
      <c r="CR203" s="3"/>
      <c r="CS203" s="32"/>
      <c r="CT203" s="32"/>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Y203" s="1"/>
      <c r="EZ203" s="1"/>
      <c r="FA203" s="1"/>
    </row>
    <row r="204" spans="9:157" ht="15.75" customHeight="1" x14ac:dyDescent="0.25">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2"/>
      <c r="AW204" s="3"/>
      <c r="AX204" s="3"/>
      <c r="AY204" s="3"/>
      <c r="AZ204" s="3"/>
      <c r="BA204" s="3"/>
      <c r="BB204" s="2"/>
      <c r="BC204" s="3"/>
      <c r="BD204" s="3"/>
      <c r="BE204" s="3"/>
      <c r="BF204" s="3"/>
      <c r="BG204" s="3"/>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3"/>
      <c r="CH204" s="3"/>
      <c r="CI204" s="3"/>
      <c r="CJ204" s="3"/>
      <c r="CK204" s="3"/>
      <c r="CL204" s="3"/>
      <c r="CM204" s="3"/>
      <c r="CN204" s="3"/>
      <c r="CO204" s="3"/>
      <c r="CP204" s="3"/>
      <c r="CQ204" s="3"/>
      <c r="CR204" s="3"/>
      <c r="CS204" s="32"/>
      <c r="CT204" s="32"/>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Y204" s="1"/>
      <c r="EZ204" s="1"/>
      <c r="FA204" s="1"/>
    </row>
    <row r="205" spans="9:157" ht="15.75" customHeight="1" x14ac:dyDescent="0.25">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2"/>
      <c r="AW205" s="3"/>
      <c r="AX205" s="3"/>
      <c r="AY205" s="3"/>
      <c r="AZ205" s="3"/>
      <c r="BA205" s="3"/>
      <c r="BB205" s="2"/>
      <c r="BC205" s="3"/>
      <c r="BD205" s="3"/>
      <c r="BE205" s="3"/>
      <c r="BF205" s="3"/>
      <c r="BG205" s="3"/>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3"/>
      <c r="CH205" s="3"/>
      <c r="CI205" s="3"/>
      <c r="CJ205" s="3"/>
      <c r="CK205" s="3"/>
      <c r="CL205" s="3"/>
      <c r="CM205" s="3"/>
      <c r="CN205" s="3"/>
      <c r="CO205" s="3"/>
      <c r="CP205" s="3"/>
      <c r="CQ205" s="3"/>
      <c r="CR205" s="3"/>
      <c r="CS205" s="32"/>
      <c r="CT205" s="32"/>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Y205" s="1"/>
      <c r="EZ205" s="1"/>
      <c r="FA205" s="1"/>
    </row>
    <row r="206" spans="9:157" ht="15.75" customHeight="1" x14ac:dyDescent="0.25">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2"/>
      <c r="AW206" s="3"/>
      <c r="AX206" s="3"/>
      <c r="AY206" s="3"/>
      <c r="AZ206" s="3"/>
      <c r="BA206" s="3"/>
      <c r="BB206" s="2"/>
      <c r="BC206" s="3"/>
      <c r="BD206" s="3"/>
      <c r="BE206" s="3"/>
      <c r="BF206" s="3"/>
      <c r="BG206" s="3"/>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3"/>
      <c r="CH206" s="3"/>
      <c r="CI206" s="3"/>
      <c r="CJ206" s="3"/>
      <c r="CK206" s="3"/>
      <c r="CL206" s="3"/>
      <c r="CM206" s="3"/>
      <c r="CN206" s="3"/>
      <c r="CO206" s="3"/>
      <c r="CP206" s="3"/>
      <c r="CQ206" s="3"/>
      <c r="CR206" s="3"/>
      <c r="CS206" s="32"/>
      <c r="CT206" s="32"/>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Y206" s="1"/>
      <c r="EZ206" s="1"/>
      <c r="FA206" s="1"/>
    </row>
    <row r="207" spans="9:157" ht="15.75" customHeight="1" x14ac:dyDescent="0.25">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2"/>
      <c r="AW207" s="3"/>
      <c r="AX207" s="3"/>
      <c r="AY207" s="3"/>
      <c r="AZ207" s="3"/>
      <c r="BA207" s="3"/>
      <c r="BB207" s="2"/>
      <c r="BC207" s="3"/>
      <c r="BD207" s="3"/>
      <c r="BE207" s="3"/>
      <c r="BF207" s="3"/>
      <c r="BG207" s="3"/>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3"/>
      <c r="CH207" s="3"/>
      <c r="CI207" s="3"/>
      <c r="CJ207" s="3"/>
      <c r="CK207" s="3"/>
      <c r="CL207" s="3"/>
      <c r="CM207" s="3"/>
      <c r="CN207" s="3"/>
      <c r="CO207" s="3"/>
      <c r="CP207" s="3"/>
      <c r="CQ207" s="3"/>
      <c r="CR207" s="3"/>
      <c r="CS207" s="32"/>
      <c r="CT207" s="32"/>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Y207" s="1"/>
      <c r="EZ207" s="1"/>
      <c r="FA207" s="1"/>
    </row>
    <row r="208" spans="9:157" ht="15.75" customHeight="1" x14ac:dyDescent="0.25">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2"/>
      <c r="AW208" s="3"/>
      <c r="AX208" s="3"/>
      <c r="AY208" s="3"/>
      <c r="AZ208" s="3"/>
      <c r="BA208" s="3"/>
      <c r="BB208" s="2"/>
      <c r="BC208" s="3"/>
      <c r="BD208" s="3"/>
      <c r="BE208" s="3"/>
      <c r="BF208" s="3"/>
      <c r="BG208" s="3"/>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3"/>
      <c r="CH208" s="3"/>
      <c r="CI208" s="3"/>
      <c r="CJ208" s="3"/>
      <c r="CK208" s="3"/>
      <c r="CL208" s="3"/>
      <c r="CM208" s="3"/>
      <c r="CN208" s="3"/>
      <c r="CO208" s="3"/>
      <c r="CP208" s="3"/>
      <c r="CQ208" s="3"/>
      <c r="CR208" s="3"/>
      <c r="CS208" s="32"/>
      <c r="CT208" s="32"/>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Y208" s="1"/>
      <c r="EZ208" s="1"/>
      <c r="FA208" s="1"/>
    </row>
    <row r="209" spans="9:157" ht="15.75" customHeight="1" x14ac:dyDescent="0.25">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2"/>
      <c r="AW209" s="3"/>
      <c r="AX209" s="3"/>
      <c r="AY209" s="3"/>
      <c r="AZ209" s="3"/>
      <c r="BA209" s="3"/>
      <c r="BB209" s="2"/>
      <c r="BC209" s="3"/>
      <c r="BD209" s="3"/>
      <c r="BE209" s="3"/>
      <c r="BF209" s="3"/>
      <c r="BG209" s="3"/>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3"/>
      <c r="CH209" s="3"/>
      <c r="CI209" s="3"/>
      <c r="CJ209" s="3"/>
      <c r="CK209" s="3"/>
      <c r="CL209" s="3"/>
      <c r="CM209" s="3"/>
      <c r="CN209" s="3"/>
      <c r="CO209" s="3"/>
      <c r="CP209" s="3"/>
      <c r="CQ209" s="3"/>
      <c r="CR209" s="3"/>
      <c r="CS209" s="32"/>
      <c r="CT209" s="32"/>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Y209" s="1"/>
      <c r="EZ209" s="1"/>
      <c r="FA209" s="1"/>
    </row>
    <row r="210" spans="9:157" ht="15.75" customHeight="1" x14ac:dyDescent="0.25">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2"/>
      <c r="AW210" s="3"/>
      <c r="AX210" s="3"/>
      <c r="AY210" s="3"/>
      <c r="AZ210" s="3"/>
      <c r="BA210" s="3"/>
      <c r="BB210" s="2"/>
      <c r="BC210" s="3"/>
      <c r="BD210" s="3"/>
      <c r="BE210" s="3"/>
      <c r="BF210" s="3"/>
      <c r="BG210" s="3"/>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3"/>
      <c r="CH210" s="3"/>
      <c r="CI210" s="3"/>
      <c r="CJ210" s="3"/>
      <c r="CK210" s="3"/>
      <c r="CL210" s="3"/>
      <c r="CM210" s="3"/>
      <c r="CN210" s="3"/>
      <c r="CO210" s="3"/>
      <c r="CP210" s="3"/>
      <c r="CQ210" s="3"/>
      <c r="CR210" s="3"/>
      <c r="CS210" s="32"/>
      <c r="CT210" s="32"/>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Y210" s="1"/>
      <c r="EZ210" s="1"/>
      <c r="FA210" s="1"/>
    </row>
    <row r="211" spans="9:157" ht="15.75" customHeight="1" x14ac:dyDescent="0.25">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2"/>
      <c r="AW211" s="3"/>
      <c r="AX211" s="3"/>
      <c r="AY211" s="3"/>
      <c r="AZ211" s="3"/>
      <c r="BA211" s="3"/>
      <c r="BB211" s="2"/>
      <c r="BC211" s="3"/>
      <c r="BD211" s="3"/>
      <c r="BE211" s="3"/>
      <c r="BF211" s="3"/>
      <c r="BG211" s="3"/>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3"/>
      <c r="CH211" s="3"/>
      <c r="CI211" s="3"/>
      <c r="CJ211" s="3"/>
      <c r="CK211" s="3"/>
      <c r="CL211" s="3"/>
      <c r="CM211" s="3"/>
      <c r="CN211" s="3"/>
      <c r="CO211" s="3"/>
      <c r="CP211" s="3"/>
      <c r="CQ211" s="3"/>
      <c r="CR211" s="3"/>
      <c r="CS211" s="32"/>
      <c r="CT211" s="32"/>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Y211" s="1"/>
      <c r="EZ211" s="1"/>
      <c r="FA211" s="1"/>
    </row>
    <row r="212" spans="9:157" ht="15.75" customHeight="1" x14ac:dyDescent="0.25">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2"/>
      <c r="AW212" s="3"/>
      <c r="AX212" s="3"/>
      <c r="AY212" s="3"/>
      <c r="AZ212" s="3"/>
      <c r="BA212" s="3"/>
      <c r="BB212" s="2"/>
      <c r="BC212" s="3"/>
      <c r="BD212" s="3"/>
      <c r="BE212" s="3"/>
      <c r="BF212" s="3"/>
      <c r="BG212" s="3"/>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3"/>
      <c r="CH212" s="3"/>
      <c r="CI212" s="3"/>
      <c r="CJ212" s="3"/>
      <c r="CK212" s="3"/>
      <c r="CL212" s="3"/>
      <c r="CM212" s="3"/>
      <c r="CN212" s="3"/>
      <c r="CO212" s="3"/>
      <c r="CP212" s="3"/>
      <c r="CQ212" s="3"/>
      <c r="CR212" s="3"/>
      <c r="CS212" s="32"/>
      <c r="CT212" s="32"/>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Y212" s="1"/>
      <c r="EZ212" s="1"/>
      <c r="FA212" s="1"/>
    </row>
    <row r="213" spans="9:157" ht="15.75" customHeight="1" x14ac:dyDescent="0.25">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2"/>
      <c r="AW213" s="3"/>
      <c r="AX213" s="3"/>
      <c r="AY213" s="3"/>
      <c r="AZ213" s="3"/>
      <c r="BA213" s="3"/>
      <c r="BB213" s="2"/>
      <c r="BC213" s="3"/>
      <c r="BD213" s="3"/>
      <c r="BE213" s="3"/>
      <c r="BF213" s="3"/>
      <c r="BG213" s="3"/>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3"/>
      <c r="CH213" s="3"/>
      <c r="CI213" s="3"/>
      <c r="CJ213" s="3"/>
      <c r="CK213" s="3"/>
      <c r="CL213" s="3"/>
      <c r="CM213" s="3"/>
      <c r="CN213" s="3"/>
      <c r="CO213" s="3"/>
      <c r="CP213" s="3"/>
      <c r="CQ213" s="3"/>
      <c r="CR213" s="3"/>
      <c r="CS213" s="32"/>
      <c r="CT213" s="32"/>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Y213" s="1"/>
      <c r="EZ213" s="1"/>
      <c r="FA213" s="1"/>
    </row>
    <row r="214" spans="9:157" ht="15.75" customHeight="1" x14ac:dyDescent="0.25">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2"/>
      <c r="AW214" s="3"/>
      <c r="AX214" s="3"/>
      <c r="AY214" s="3"/>
      <c r="AZ214" s="3"/>
      <c r="BA214" s="3"/>
      <c r="BB214" s="2"/>
      <c r="BC214" s="3"/>
      <c r="BD214" s="3"/>
      <c r="BE214" s="3"/>
      <c r="BF214" s="3"/>
      <c r="BG214" s="3"/>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3"/>
      <c r="CH214" s="3"/>
      <c r="CI214" s="3"/>
      <c r="CJ214" s="3"/>
      <c r="CK214" s="3"/>
      <c r="CL214" s="3"/>
      <c r="CM214" s="3"/>
      <c r="CN214" s="3"/>
      <c r="CO214" s="3"/>
      <c r="CP214" s="3"/>
      <c r="CQ214" s="3"/>
      <c r="CR214" s="3"/>
      <c r="CS214" s="32"/>
      <c r="CT214" s="32"/>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Y214" s="1"/>
      <c r="EZ214" s="1"/>
      <c r="FA214" s="1"/>
    </row>
    <row r="215" spans="9:157" ht="15.75" customHeight="1" x14ac:dyDescent="0.25">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2"/>
      <c r="AW215" s="3"/>
      <c r="AX215" s="3"/>
      <c r="AY215" s="3"/>
      <c r="AZ215" s="3"/>
      <c r="BA215" s="3"/>
      <c r="BB215" s="2"/>
      <c r="BC215" s="3"/>
      <c r="BD215" s="3"/>
      <c r="BE215" s="3"/>
      <c r="BF215" s="3"/>
      <c r="BG215" s="3"/>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3"/>
      <c r="CH215" s="3"/>
      <c r="CI215" s="3"/>
      <c r="CJ215" s="3"/>
      <c r="CK215" s="3"/>
      <c r="CL215" s="3"/>
      <c r="CM215" s="3"/>
      <c r="CN215" s="3"/>
      <c r="CO215" s="3"/>
      <c r="CP215" s="3"/>
      <c r="CQ215" s="3"/>
      <c r="CR215" s="3"/>
      <c r="CS215" s="32"/>
      <c r="CT215" s="32"/>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Y215" s="1"/>
      <c r="EZ215" s="1"/>
      <c r="FA215" s="1"/>
    </row>
    <row r="216" spans="9:157" ht="15.75" customHeight="1" x14ac:dyDescent="0.25">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2"/>
      <c r="AW216" s="3"/>
      <c r="AX216" s="3"/>
      <c r="AY216" s="3"/>
      <c r="AZ216" s="3"/>
      <c r="BA216" s="3"/>
      <c r="BB216" s="2"/>
      <c r="BC216" s="3"/>
      <c r="BD216" s="3"/>
      <c r="BE216" s="3"/>
      <c r="BF216" s="3"/>
      <c r="BG216" s="3"/>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3"/>
      <c r="CH216" s="3"/>
      <c r="CI216" s="3"/>
      <c r="CJ216" s="3"/>
      <c r="CK216" s="3"/>
      <c r="CL216" s="3"/>
      <c r="CM216" s="3"/>
      <c r="CN216" s="3"/>
      <c r="CO216" s="3"/>
      <c r="CP216" s="3"/>
      <c r="CQ216" s="3"/>
      <c r="CR216" s="3"/>
      <c r="CS216" s="32"/>
      <c r="CT216" s="32"/>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Y216" s="1"/>
      <c r="EZ216" s="1"/>
      <c r="FA216" s="1"/>
    </row>
    <row r="217" spans="9:157" ht="15.75" customHeight="1" x14ac:dyDescent="0.25">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2"/>
      <c r="AW217" s="3"/>
      <c r="AX217" s="3"/>
      <c r="AY217" s="3"/>
      <c r="AZ217" s="3"/>
      <c r="BA217" s="3"/>
      <c r="BB217" s="2"/>
      <c r="BC217" s="3"/>
      <c r="BD217" s="3"/>
      <c r="BE217" s="3"/>
      <c r="BF217" s="3"/>
      <c r="BG217" s="3"/>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3"/>
      <c r="CH217" s="3"/>
      <c r="CI217" s="3"/>
      <c r="CJ217" s="3"/>
      <c r="CK217" s="3"/>
      <c r="CL217" s="3"/>
      <c r="CM217" s="3"/>
      <c r="CN217" s="3"/>
      <c r="CO217" s="3"/>
      <c r="CP217" s="3"/>
      <c r="CQ217" s="3"/>
      <c r="CR217" s="3"/>
      <c r="CS217" s="32"/>
      <c r="CT217" s="32"/>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Y217" s="1"/>
      <c r="EZ217" s="1"/>
      <c r="FA217" s="1"/>
    </row>
    <row r="218" spans="9:157" ht="15.75" customHeight="1" x14ac:dyDescent="0.25">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2"/>
      <c r="AW218" s="3"/>
      <c r="AX218" s="3"/>
      <c r="AY218" s="3"/>
      <c r="AZ218" s="3"/>
      <c r="BA218" s="3"/>
      <c r="BB218" s="2"/>
      <c r="BC218" s="3"/>
      <c r="BD218" s="3"/>
      <c r="BE218" s="3"/>
      <c r="BF218" s="3"/>
      <c r="BG218" s="3"/>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3"/>
      <c r="CH218" s="3"/>
      <c r="CI218" s="3"/>
      <c r="CJ218" s="3"/>
      <c r="CK218" s="3"/>
      <c r="CL218" s="3"/>
      <c r="CM218" s="3"/>
      <c r="CN218" s="3"/>
      <c r="CO218" s="3"/>
      <c r="CP218" s="3"/>
      <c r="CQ218" s="3"/>
      <c r="CR218" s="3"/>
      <c r="CS218" s="32"/>
      <c r="CT218" s="32"/>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Y218" s="1"/>
      <c r="EZ218" s="1"/>
      <c r="FA218" s="1"/>
    </row>
    <row r="219" spans="9:157" ht="15.75" customHeight="1" x14ac:dyDescent="0.25">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2"/>
      <c r="AW219" s="3"/>
      <c r="AX219" s="3"/>
      <c r="AY219" s="3"/>
      <c r="AZ219" s="3"/>
      <c r="BA219" s="3"/>
      <c r="BB219" s="2"/>
      <c r="BC219" s="3"/>
      <c r="BD219" s="3"/>
      <c r="BE219" s="3"/>
      <c r="BF219" s="3"/>
      <c r="BG219" s="3"/>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3"/>
      <c r="CH219" s="3"/>
      <c r="CI219" s="3"/>
      <c r="CJ219" s="3"/>
      <c r="CK219" s="3"/>
      <c r="CL219" s="3"/>
      <c r="CM219" s="3"/>
      <c r="CN219" s="3"/>
      <c r="CO219" s="3"/>
      <c r="CP219" s="3"/>
      <c r="CQ219" s="3"/>
      <c r="CR219" s="3"/>
      <c r="CS219" s="32"/>
      <c r="CT219" s="32"/>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c r="ER219" s="3"/>
      <c r="ES219" s="3"/>
      <c r="EY219" s="1"/>
      <c r="EZ219" s="1"/>
      <c r="FA219" s="1"/>
    </row>
    <row r="220" spans="9:157" ht="15.75" customHeight="1" x14ac:dyDescent="0.25">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2"/>
      <c r="AW220" s="3"/>
      <c r="AX220" s="3"/>
      <c r="AY220" s="3"/>
      <c r="AZ220" s="3"/>
      <c r="BA220" s="3"/>
      <c r="BB220" s="2"/>
      <c r="BC220" s="3"/>
      <c r="BD220" s="3"/>
      <c r="BE220" s="3"/>
      <c r="BF220" s="3"/>
      <c r="BG220" s="3"/>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3"/>
      <c r="CH220" s="3"/>
      <c r="CI220" s="3"/>
      <c r="CJ220" s="3"/>
      <c r="CK220" s="3"/>
      <c r="CL220" s="3"/>
      <c r="CM220" s="3"/>
      <c r="CN220" s="3"/>
      <c r="CO220" s="3"/>
      <c r="CP220" s="3"/>
      <c r="CQ220" s="3"/>
      <c r="CR220" s="3"/>
      <c r="CS220" s="32"/>
      <c r="CT220" s="32"/>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Y220" s="1"/>
      <c r="EZ220" s="1"/>
      <c r="FA220" s="1"/>
    </row>
    <row r="221" spans="9:157" ht="15.75" customHeight="1" x14ac:dyDescent="0.25">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2"/>
      <c r="AW221" s="3"/>
      <c r="AX221" s="3"/>
      <c r="AY221" s="3"/>
      <c r="AZ221" s="3"/>
      <c r="BA221" s="3"/>
      <c r="BB221" s="2"/>
      <c r="BC221" s="3"/>
      <c r="BD221" s="3"/>
      <c r="BE221" s="3"/>
      <c r="BF221" s="3"/>
      <c r="BG221" s="3"/>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3"/>
      <c r="CH221" s="3"/>
      <c r="CI221" s="3"/>
      <c r="CJ221" s="3"/>
      <c r="CK221" s="3"/>
      <c r="CL221" s="3"/>
      <c r="CM221" s="3"/>
      <c r="CN221" s="3"/>
      <c r="CO221" s="3"/>
      <c r="CP221" s="3"/>
      <c r="CQ221" s="3"/>
      <c r="CR221" s="3"/>
      <c r="CS221" s="32"/>
      <c r="CT221" s="32"/>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Y221" s="1"/>
      <c r="EZ221" s="1"/>
      <c r="FA221" s="1"/>
    </row>
    <row r="222" spans="9:157" ht="15.75" customHeight="1" x14ac:dyDescent="0.25">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2"/>
      <c r="AW222" s="3"/>
      <c r="AX222" s="3"/>
      <c r="AY222" s="3"/>
      <c r="AZ222" s="3"/>
      <c r="BA222" s="3"/>
      <c r="BB222" s="2"/>
      <c r="BC222" s="3"/>
      <c r="BD222" s="3"/>
      <c r="BE222" s="3"/>
      <c r="BF222" s="3"/>
      <c r="BG222" s="3"/>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3"/>
      <c r="CH222" s="3"/>
      <c r="CI222" s="3"/>
      <c r="CJ222" s="3"/>
      <c r="CK222" s="3"/>
      <c r="CL222" s="3"/>
      <c r="CM222" s="3"/>
      <c r="CN222" s="3"/>
      <c r="CO222" s="3"/>
      <c r="CP222" s="3"/>
      <c r="CQ222" s="3"/>
      <c r="CR222" s="3"/>
      <c r="CS222" s="32"/>
      <c r="CT222" s="32"/>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Y222" s="1"/>
      <c r="EZ222" s="1"/>
      <c r="FA222" s="1"/>
    </row>
  </sheetData>
  <mergeCells count="41">
    <mergeCell ref="E22:J22"/>
    <mergeCell ref="K22:S22"/>
    <mergeCell ref="A11:I11"/>
    <mergeCell ref="J11:AC11"/>
    <mergeCell ref="A13:A17"/>
    <mergeCell ref="B13:B17"/>
    <mergeCell ref="C15:C16"/>
    <mergeCell ref="D15:D16"/>
    <mergeCell ref="K20:S20"/>
    <mergeCell ref="EX10:EX12"/>
    <mergeCell ref="EY10:EY12"/>
    <mergeCell ref="E20:J20"/>
    <mergeCell ref="E21:J21"/>
    <mergeCell ref="K21:S21"/>
    <mergeCell ref="A8:F8"/>
    <mergeCell ref="G8:FC8"/>
    <mergeCell ref="A10:I10"/>
    <mergeCell ref="EZ10:EZ12"/>
    <mergeCell ref="FA10:FA12"/>
    <mergeCell ref="FB10:FB12"/>
    <mergeCell ref="FC10:FC12"/>
    <mergeCell ref="AD11:BG11"/>
    <mergeCell ref="BH11:CK11"/>
    <mergeCell ref="CL11:DO11"/>
    <mergeCell ref="DP11:ES11"/>
    <mergeCell ref="J10:ES10"/>
    <mergeCell ref="ET10:ET12"/>
    <mergeCell ref="EU10:EU12"/>
    <mergeCell ref="EV10:EV12"/>
    <mergeCell ref="EW10:EW12"/>
    <mergeCell ref="A5:F5"/>
    <mergeCell ref="G5:FC5"/>
    <mergeCell ref="A6:F6"/>
    <mergeCell ref="G6:FC6"/>
    <mergeCell ref="A7:F7"/>
    <mergeCell ref="G7:FC7"/>
    <mergeCell ref="A2:F4"/>
    <mergeCell ref="G2:FC2"/>
    <mergeCell ref="G3:FC3"/>
    <mergeCell ref="G4:ES4"/>
    <mergeCell ref="ET4:FC4"/>
  </mergeCells>
  <dataValidations count="2">
    <dataValidation type="custom" allowBlank="1" showErrorMessage="1" sqref="EY13:EY17" xr:uid="{00000000-0002-0000-0000-000000000000}">
      <formula1>LTE(LEN(EY13),(3000))</formula1>
    </dataValidation>
    <dataValidation type="custom" allowBlank="1" showErrorMessage="1" sqref="EZ13:FC17" xr:uid="{00000000-0002-0000-0000-000001000000}">
      <formula1>LTE(LEN(EZ13),(500))</formula1>
    </dataValidation>
  </dataValidations>
  <printOptions horizontalCentered="1" verticalCentered="1"/>
  <pageMargins left="0" right="0" top="0.55118110236220474" bottom="0" header="0" footer="0"/>
  <pageSetup scale="2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D305"/>
  <sheetViews>
    <sheetView showGridLines="0" tabSelected="1" zoomScale="66" zoomScaleNormal="66" workbookViewId="0">
      <selection activeCell="G81" sqref="G81"/>
    </sheetView>
  </sheetViews>
  <sheetFormatPr baseColWidth="10" defaultColWidth="14.42578125" defaultRowHeight="15" customHeight="1" x14ac:dyDescent="0.25"/>
  <cols>
    <col min="1" max="1" width="13.5703125" customWidth="1"/>
    <col min="2" max="2" width="5.7109375" customWidth="1"/>
    <col min="3" max="3" width="21" customWidth="1"/>
    <col min="4" max="4" width="10.140625" customWidth="1"/>
    <col min="5" max="5" width="18.140625" customWidth="1"/>
    <col min="6" max="6" width="14.42578125" customWidth="1"/>
    <col min="7" max="7" width="27.7109375" customWidth="1"/>
    <col min="8" max="8" width="27.7109375" hidden="1" customWidth="1"/>
    <col min="9" max="10" width="15.7109375" hidden="1" customWidth="1"/>
    <col min="11" max="20" width="22.42578125" hidden="1" customWidth="1"/>
    <col min="21" max="21" width="18.42578125" hidden="1" customWidth="1"/>
    <col min="22" max="22" width="20.7109375" hidden="1" customWidth="1"/>
    <col min="23" max="23" width="21.7109375" hidden="1" customWidth="1"/>
    <col min="24" max="24" width="20.42578125" hidden="1" customWidth="1"/>
    <col min="25" max="25" width="22.28515625" hidden="1" customWidth="1"/>
    <col min="26" max="26" width="22.85546875" customWidth="1"/>
    <col min="27" max="27" width="23.140625" customWidth="1"/>
    <col min="28" max="28" width="26.28515625" hidden="1" customWidth="1"/>
    <col min="29" max="30" width="23.7109375" hidden="1" customWidth="1"/>
    <col min="31" max="32" width="25.7109375" hidden="1" customWidth="1"/>
    <col min="33" max="34" width="26.28515625" hidden="1" customWidth="1"/>
    <col min="35" max="36" width="24.28515625" hidden="1" customWidth="1"/>
    <col min="37" max="37" width="21.7109375" hidden="1" customWidth="1"/>
    <col min="38" max="38" width="22.42578125" hidden="1" customWidth="1"/>
    <col min="39" max="39" width="27.7109375" hidden="1" customWidth="1"/>
    <col min="40" max="40" width="40.140625" hidden="1" customWidth="1"/>
    <col min="41" max="41" width="28.7109375" hidden="1" customWidth="1"/>
    <col min="42" max="42" width="27.140625" hidden="1" customWidth="1"/>
    <col min="43" max="43" width="24" hidden="1" customWidth="1"/>
    <col min="44" max="44" width="22.28515625" hidden="1" customWidth="1"/>
    <col min="45" max="45" width="22.140625" hidden="1" customWidth="1"/>
    <col min="46" max="46" width="22.42578125" hidden="1" customWidth="1"/>
    <col min="47" max="47" width="21.140625" hidden="1" customWidth="1"/>
    <col min="48" max="48" width="22.7109375" hidden="1" customWidth="1"/>
    <col min="49" max="49" width="24" hidden="1" customWidth="1"/>
    <col min="50" max="50" width="21.7109375" hidden="1" customWidth="1"/>
    <col min="51" max="51" width="23.28515625" hidden="1" customWidth="1"/>
    <col min="52" max="52" width="21.7109375" hidden="1" customWidth="1"/>
    <col min="53" max="53" width="21.28515625" hidden="1" customWidth="1"/>
    <col min="54" max="54" width="24.7109375" hidden="1" customWidth="1"/>
    <col min="55" max="55" width="23.42578125" hidden="1" customWidth="1"/>
    <col min="56" max="57" width="21.28515625" customWidth="1"/>
    <col min="58" max="58" width="30.42578125" hidden="1" customWidth="1"/>
    <col min="59" max="59" width="27.42578125" hidden="1" customWidth="1"/>
    <col min="60" max="60" width="30.42578125" hidden="1" customWidth="1"/>
    <col min="61" max="61" width="24.7109375" hidden="1" customWidth="1"/>
    <col min="62" max="62" width="25.42578125" hidden="1" customWidth="1"/>
    <col min="63" max="64" width="26.7109375" hidden="1" customWidth="1"/>
    <col min="65" max="65" width="28.7109375" hidden="1" customWidth="1"/>
    <col min="66" max="66" width="22.140625" hidden="1" customWidth="1"/>
    <col min="67" max="67" width="22.7109375" hidden="1" customWidth="1"/>
    <col min="68" max="68" width="23.7109375" hidden="1" customWidth="1"/>
    <col min="69" max="69" width="19.28515625" hidden="1" customWidth="1"/>
    <col min="70" max="70" width="25.42578125" hidden="1" customWidth="1"/>
    <col min="71" max="71" width="25.7109375" hidden="1" customWidth="1"/>
    <col min="72" max="72" width="26.42578125" hidden="1" customWidth="1"/>
    <col min="73" max="73" width="22.7109375" hidden="1" customWidth="1"/>
    <col min="74" max="74" width="25.28515625" hidden="1" customWidth="1"/>
    <col min="75" max="75" width="26.28515625" hidden="1" customWidth="1"/>
    <col min="76" max="76" width="29.140625" hidden="1" customWidth="1"/>
    <col min="77" max="77" width="22.7109375" hidden="1" customWidth="1"/>
    <col min="78" max="78" width="22.42578125" hidden="1" customWidth="1"/>
    <col min="79" max="79" width="22.28515625" hidden="1" customWidth="1"/>
    <col min="80" max="80" width="27.28515625" hidden="1" customWidth="1"/>
    <col min="81" max="81" width="24.7109375" hidden="1" customWidth="1"/>
    <col min="82" max="82" width="20.7109375" hidden="1" customWidth="1"/>
    <col min="83" max="83" width="27.7109375" hidden="1" customWidth="1"/>
    <col min="84" max="84" width="32" hidden="1" customWidth="1"/>
    <col min="85" max="85" width="31" hidden="1" customWidth="1"/>
    <col min="86" max="86" width="23.28515625" customWidth="1"/>
    <col min="87" max="88" width="23.7109375" customWidth="1"/>
    <col min="89" max="98" width="21.42578125" customWidth="1"/>
    <col min="99" max="100" width="21" customWidth="1"/>
    <col min="101" max="104" width="19" customWidth="1"/>
    <col min="105" max="105" width="19.7109375" customWidth="1"/>
    <col min="106" max="106" width="19.42578125" customWidth="1"/>
    <col min="107" max="110" width="26.140625" customWidth="1"/>
    <col min="111" max="111" width="27" customWidth="1"/>
    <col min="112" max="112" width="23.28515625" customWidth="1"/>
    <col min="113" max="115" width="27.140625" customWidth="1"/>
    <col min="116" max="118" width="24.140625" customWidth="1"/>
    <col min="119" max="146" width="15.7109375" hidden="1" customWidth="1"/>
    <col min="147" max="147" width="27.7109375" hidden="1" customWidth="1"/>
    <col min="148" max="152" width="21.42578125" customWidth="1"/>
    <col min="153" max="153" width="81.140625" customWidth="1"/>
    <col min="154" max="154" width="31.42578125" customWidth="1"/>
    <col min="155" max="155" width="31.5703125" customWidth="1"/>
    <col min="156" max="156" width="52.5703125" customWidth="1"/>
    <col min="157" max="157" width="22.140625" customWidth="1"/>
    <col min="158" max="158" width="11.7109375" customWidth="1"/>
    <col min="159" max="159" width="10.7109375" customWidth="1"/>
    <col min="160" max="160" width="15.7109375" customWidth="1"/>
  </cols>
  <sheetData>
    <row r="1" spans="1:160" ht="32.25" customHeight="1" x14ac:dyDescent="0.5">
      <c r="A1" s="720"/>
      <c r="B1" s="670"/>
      <c r="C1" s="670"/>
      <c r="D1" s="670"/>
      <c r="E1" s="671"/>
      <c r="F1" s="678" t="s">
        <v>0</v>
      </c>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79"/>
      <c r="AY1" s="679"/>
      <c r="AZ1" s="679"/>
      <c r="BA1" s="679"/>
      <c r="BB1" s="679"/>
      <c r="BC1" s="679"/>
      <c r="BD1" s="679"/>
      <c r="BE1" s="679"/>
      <c r="BF1" s="679"/>
      <c r="BG1" s="679"/>
      <c r="BH1" s="679"/>
      <c r="BI1" s="679"/>
      <c r="BJ1" s="679"/>
      <c r="BK1" s="679"/>
      <c r="BL1" s="679"/>
      <c r="BM1" s="679"/>
      <c r="BN1" s="679"/>
      <c r="BO1" s="679"/>
      <c r="BP1" s="679"/>
      <c r="BQ1" s="679"/>
      <c r="BR1" s="679"/>
      <c r="BS1" s="679"/>
      <c r="BT1" s="679"/>
      <c r="BU1" s="679"/>
      <c r="BV1" s="679"/>
      <c r="BW1" s="679"/>
      <c r="BX1" s="679"/>
      <c r="BY1" s="679"/>
      <c r="BZ1" s="679"/>
      <c r="CA1" s="679"/>
      <c r="CB1" s="679"/>
      <c r="CC1" s="679"/>
      <c r="CD1" s="679"/>
      <c r="CE1" s="679"/>
      <c r="CF1" s="679"/>
      <c r="CG1" s="679"/>
      <c r="CH1" s="679"/>
      <c r="CI1" s="679"/>
      <c r="CJ1" s="679"/>
      <c r="CK1" s="679"/>
      <c r="CL1" s="679"/>
      <c r="CM1" s="679"/>
      <c r="CN1" s="679"/>
      <c r="CO1" s="679"/>
      <c r="CP1" s="679"/>
      <c r="CQ1" s="679"/>
      <c r="CR1" s="679"/>
      <c r="CS1" s="679"/>
      <c r="CT1" s="679"/>
      <c r="CU1" s="679"/>
      <c r="CV1" s="679"/>
      <c r="CW1" s="679"/>
      <c r="CX1" s="679"/>
      <c r="CY1" s="679"/>
      <c r="CZ1" s="679"/>
      <c r="DA1" s="679"/>
      <c r="DB1" s="679"/>
      <c r="DC1" s="679"/>
      <c r="DD1" s="679"/>
      <c r="DE1" s="679"/>
      <c r="DF1" s="679"/>
      <c r="DG1" s="679"/>
      <c r="DH1" s="679"/>
      <c r="DI1" s="679"/>
      <c r="DJ1" s="679"/>
      <c r="DK1" s="679"/>
      <c r="DL1" s="679"/>
      <c r="DM1" s="679"/>
      <c r="DN1" s="679"/>
      <c r="DO1" s="679"/>
      <c r="DP1" s="679"/>
      <c r="DQ1" s="679"/>
      <c r="DR1" s="679"/>
      <c r="DS1" s="679"/>
      <c r="DT1" s="679"/>
      <c r="DU1" s="679"/>
      <c r="DV1" s="679"/>
      <c r="DW1" s="679"/>
      <c r="DX1" s="679"/>
      <c r="DY1" s="679"/>
      <c r="DZ1" s="679"/>
      <c r="EA1" s="679"/>
      <c r="EB1" s="679"/>
      <c r="EC1" s="679"/>
      <c r="ED1" s="679"/>
      <c r="EE1" s="679"/>
      <c r="EF1" s="679"/>
      <c r="EG1" s="679"/>
      <c r="EH1" s="679"/>
      <c r="EI1" s="679"/>
      <c r="EJ1" s="679"/>
      <c r="EK1" s="679"/>
      <c r="EL1" s="679"/>
      <c r="EM1" s="679"/>
      <c r="EN1" s="679"/>
      <c r="EO1" s="679"/>
      <c r="EP1" s="679"/>
      <c r="EQ1" s="679"/>
      <c r="ER1" s="679"/>
      <c r="ES1" s="679"/>
      <c r="ET1" s="679"/>
      <c r="EU1" s="679"/>
      <c r="EV1" s="679"/>
      <c r="EW1" s="679"/>
      <c r="EX1" s="679"/>
      <c r="EY1" s="679"/>
      <c r="EZ1" s="679"/>
      <c r="FA1" s="721"/>
      <c r="FB1" s="62"/>
      <c r="FC1" s="5"/>
      <c r="FD1" s="5"/>
    </row>
    <row r="2" spans="1:160" ht="31.5" customHeight="1" x14ac:dyDescent="0.5">
      <c r="A2" s="672"/>
      <c r="B2" s="673"/>
      <c r="C2" s="673"/>
      <c r="D2" s="673"/>
      <c r="E2" s="674"/>
      <c r="F2" s="722" t="s">
        <v>207</v>
      </c>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723"/>
      <c r="BK2" s="723"/>
      <c r="BL2" s="723"/>
      <c r="BM2" s="723"/>
      <c r="BN2" s="723"/>
      <c r="BO2" s="723"/>
      <c r="BP2" s="723"/>
      <c r="BQ2" s="723"/>
      <c r="BR2" s="723"/>
      <c r="BS2" s="723"/>
      <c r="BT2" s="723"/>
      <c r="BU2" s="723"/>
      <c r="BV2" s="723"/>
      <c r="BW2" s="723"/>
      <c r="BX2" s="723"/>
      <c r="BY2" s="723"/>
      <c r="BZ2" s="723"/>
      <c r="CA2" s="723"/>
      <c r="CB2" s="723"/>
      <c r="CC2" s="723"/>
      <c r="CD2" s="723"/>
      <c r="CE2" s="723"/>
      <c r="CF2" s="723"/>
      <c r="CG2" s="723"/>
      <c r="CH2" s="723"/>
      <c r="CI2" s="723"/>
      <c r="CJ2" s="723"/>
      <c r="CK2" s="723"/>
      <c r="CL2" s="723"/>
      <c r="CM2" s="723"/>
      <c r="CN2" s="723"/>
      <c r="CO2" s="723"/>
      <c r="CP2" s="723"/>
      <c r="CQ2" s="723"/>
      <c r="CR2" s="723"/>
      <c r="CS2" s="723"/>
      <c r="CT2" s="723"/>
      <c r="CU2" s="723"/>
      <c r="CV2" s="723"/>
      <c r="CW2" s="723"/>
      <c r="CX2" s="723"/>
      <c r="CY2" s="723"/>
      <c r="CZ2" s="723"/>
      <c r="DA2" s="723"/>
      <c r="DB2" s="723"/>
      <c r="DC2" s="723"/>
      <c r="DD2" s="723"/>
      <c r="DE2" s="723"/>
      <c r="DF2" s="723"/>
      <c r="DG2" s="723"/>
      <c r="DH2" s="723"/>
      <c r="DI2" s="723"/>
      <c r="DJ2" s="723"/>
      <c r="DK2" s="723"/>
      <c r="DL2" s="723"/>
      <c r="DM2" s="723"/>
      <c r="DN2" s="723"/>
      <c r="DO2" s="723"/>
      <c r="DP2" s="723"/>
      <c r="DQ2" s="723"/>
      <c r="DR2" s="723"/>
      <c r="DS2" s="723"/>
      <c r="DT2" s="723"/>
      <c r="DU2" s="723"/>
      <c r="DV2" s="723"/>
      <c r="DW2" s="723"/>
      <c r="DX2" s="723"/>
      <c r="DY2" s="723"/>
      <c r="DZ2" s="723"/>
      <c r="EA2" s="723"/>
      <c r="EB2" s="723"/>
      <c r="EC2" s="723"/>
      <c r="ED2" s="723"/>
      <c r="EE2" s="723"/>
      <c r="EF2" s="723"/>
      <c r="EG2" s="723"/>
      <c r="EH2" s="723"/>
      <c r="EI2" s="723"/>
      <c r="EJ2" s="723"/>
      <c r="EK2" s="723"/>
      <c r="EL2" s="723"/>
      <c r="EM2" s="723"/>
      <c r="EN2" s="723"/>
      <c r="EO2" s="723"/>
      <c r="EP2" s="723"/>
      <c r="EQ2" s="723"/>
      <c r="ER2" s="723"/>
      <c r="ES2" s="723"/>
      <c r="ET2" s="723"/>
      <c r="EU2" s="723"/>
      <c r="EV2" s="723"/>
      <c r="EW2" s="723"/>
      <c r="EX2" s="723"/>
      <c r="EY2" s="723"/>
      <c r="EZ2" s="723"/>
      <c r="FA2" s="724"/>
      <c r="FB2" s="62"/>
      <c r="FC2" s="5"/>
      <c r="FD2" s="5"/>
    </row>
    <row r="3" spans="1:160" ht="30" customHeight="1" x14ac:dyDescent="0.4">
      <c r="A3" s="675"/>
      <c r="B3" s="676"/>
      <c r="C3" s="676"/>
      <c r="D3" s="676"/>
      <c r="E3" s="677"/>
      <c r="F3" s="725" t="s">
        <v>2</v>
      </c>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685"/>
      <c r="AJ3" s="685"/>
      <c r="AK3" s="685"/>
      <c r="AL3" s="685"/>
      <c r="AM3" s="685"/>
      <c r="AN3" s="685"/>
      <c r="AO3" s="685"/>
      <c r="AP3" s="685"/>
      <c r="AQ3" s="685"/>
      <c r="AR3" s="685"/>
      <c r="AS3" s="685"/>
      <c r="AT3" s="685"/>
      <c r="AU3" s="685"/>
      <c r="AV3" s="685"/>
      <c r="AW3" s="685"/>
      <c r="AX3" s="685"/>
      <c r="AY3" s="685"/>
      <c r="AZ3" s="685"/>
      <c r="BA3" s="685"/>
      <c r="BB3" s="685"/>
      <c r="BC3" s="685"/>
      <c r="BD3" s="685"/>
      <c r="BE3" s="685"/>
      <c r="BF3" s="685"/>
      <c r="BG3" s="685"/>
      <c r="BH3" s="685"/>
      <c r="BI3" s="685"/>
      <c r="BJ3" s="685"/>
      <c r="BK3" s="685"/>
      <c r="BL3" s="685"/>
      <c r="BM3" s="685"/>
      <c r="BN3" s="685"/>
      <c r="BO3" s="685"/>
      <c r="BP3" s="685"/>
      <c r="BQ3" s="685"/>
      <c r="BR3" s="685"/>
      <c r="BS3" s="685"/>
      <c r="BT3" s="685"/>
      <c r="BU3" s="685"/>
      <c r="BV3" s="685"/>
      <c r="BW3" s="685"/>
      <c r="BX3" s="685"/>
      <c r="BY3" s="685"/>
      <c r="BZ3" s="685"/>
      <c r="CA3" s="685"/>
      <c r="CB3" s="685"/>
      <c r="CC3" s="685"/>
      <c r="CD3" s="685"/>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5"/>
      <c r="ED3" s="685"/>
      <c r="EE3" s="685"/>
      <c r="EF3" s="685"/>
      <c r="EG3" s="685"/>
      <c r="EH3" s="685"/>
      <c r="EI3" s="685"/>
      <c r="EJ3" s="685"/>
      <c r="EK3" s="685"/>
      <c r="EL3" s="685"/>
      <c r="EM3" s="685"/>
      <c r="EN3" s="685"/>
      <c r="EO3" s="685"/>
      <c r="EP3" s="685"/>
      <c r="EQ3" s="685"/>
      <c r="ER3" s="726" t="s">
        <v>208</v>
      </c>
      <c r="ES3" s="685"/>
      <c r="ET3" s="685"/>
      <c r="EU3" s="685"/>
      <c r="EV3" s="685"/>
      <c r="EW3" s="685"/>
      <c r="EX3" s="685"/>
      <c r="EY3" s="685"/>
      <c r="EZ3" s="685"/>
      <c r="FA3" s="688"/>
      <c r="FB3" s="63"/>
      <c r="FC3" s="6"/>
      <c r="FD3" s="6"/>
    </row>
    <row r="4" spans="1:160" ht="20.25" customHeight="1" x14ac:dyDescent="0.25">
      <c r="A4" s="731" t="s">
        <v>4</v>
      </c>
      <c r="B4" s="685"/>
      <c r="C4" s="685"/>
      <c r="D4" s="685"/>
      <c r="E4" s="688"/>
      <c r="F4" s="727" t="s">
        <v>209</v>
      </c>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8"/>
      <c r="BK4" s="728" t="s">
        <v>209</v>
      </c>
      <c r="BL4" s="729"/>
      <c r="BM4" s="729"/>
      <c r="BN4" s="729"/>
      <c r="BO4" s="729"/>
      <c r="BP4" s="729"/>
      <c r="BQ4" s="729"/>
      <c r="BR4" s="729"/>
      <c r="BS4" s="729"/>
      <c r="BT4" s="729"/>
      <c r="BU4" s="729"/>
      <c r="BV4" s="729"/>
      <c r="BW4" s="729"/>
      <c r="BX4" s="729"/>
      <c r="BY4" s="729"/>
      <c r="BZ4" s="729"/>
      <c r="CA4" s="729"/>
      <c r="CB4" s="729"/>
      <c r="CC4" s="730"/>
      <c r="CD4" s="728"/>
      <c r="CE4" s="729"/>
      <c r="CF4" s="729"/>
      <c r="CG4" s="729"/>
      <c r="CH4" s="729"/>
      <c r="CI4" s="729"/>
      <c r="CJ4" s="729"/>
      <c r="CK4" s="729"/>
      <c r="CL4" s="729"/>
      <c r="CM4" s="729"/>
      <c r="CN4" s="729"/>
      <c r="CO4" s="729"/>
      <c r="CP4" s="729"/>
      <c r="CQ4" s="729"/>
      <c r="CR4" s="729"/>
      <c r="CS4" s="729"/>
      <c r="CT4" s="729"/>
      <c r="CU4" s="729"/>
      <c r="CV4" s="730"/>
      <c r="CW4" s="728"/>
      <c r="CX4" s="729"/>
      <c r="CY4" s="729"/>
      <c r="CZ4" s="729"/>
      <c r="DA4" s="729"/>
      <c r="DB4" s="729"/>
      <c r="DC4" s="729"/>
      <c r="DD4" s="729"/>
      <c r="DE4" s="729"/>
      <c r="DF4" s="729"/>
      <c r="DG4" s="729"/>
      <c r="DH4" s="729"/>
      <c r="DI4" s="729"/>
      <c r="DJ4" s="729"/>
      <c r="DK4" s="729"/>
      <c r="DL4" s="729"/>
      <c r="DM4" s="729"/>
      <c r="DN4" s="729"/>
      <c r="DO4" s="730"/>
      <c r="DP4" s="728" t="s">
        <v>209</v>
      </c>
      <c r="DQ4" s="729"/>
      <c r="DR4" s="729"/>
      <c r="DS4" s="729"/>
      <c r="DT4" s="729"/>
      <c r="DU4" s="729"/>
      <c r="DV4" s="729"/>
      <c r="DW4" s="729"/>
      <c r="DX4" s="729"/>
      <c r="DY4" s="729"/>
      <c r="DZ4" s="729"/>
      <c r="EA4" s="729"/>
      <c r="EB4" s="729"/>
      <c r="EC4" s="729"/>
      <c r="ED4" s="729"/>
      <c r="EE4" s="729"/>
      <c r="EF4" s="729"/>
      <c r="EG4" s="729"/>
      <c r="EH4" s="730"/>
      <c r="EI4" s="728" t="s">
        <v>210</v>
      </c>
      <c r="EJ4" s="729"/>
      <c r="EK4" s="729"/>
      <c r="EL4" s="729"/>
      <c r="EM4" s="729"/>
      <c r="EN4" s="729"/>
      <c r="EO4" s="729"/>
      <c r="EP4" s="729"/>
      <c r="EQ4" s="729"/>
      <c r="ER4" s="729"/>
      <c r="ES4" s="729"/>
      <c r="ET4" s="729"/>
      <c r="EU4" s="729"/>
      <c r="EV4" s="729"/>
      <c r="EW4" s="729"/>
      <c r="EX4" s="729"/>
      <c r="EY4" s="729"/>
      <c r="EZ4" s="729"/>
      <c r="FA4" s="730"/>
      <c r="FB4" s="1"/>
    </row>
    <row r="5" spans="1:160" ht="36" customHeight="1" x14ac:dyDescent="0.25">
      <c r="A5" s="731" t="s">
        <v>5</v>
      </c>
      <c r="B5" s="685"/>
      <c r="C5" s="685"/>
      <c r="D5" s="685"/>
      <c r="E5" s="688"/>
      <c r="F5" s="690" t="str">
        <f>+GESTIÓN!G6</f>
        <v>Proyecto 7794 - Fortalecimiento de la gestión ambiental sectorial, el ecourbanismo y cambio climático en el D.C.</v>
      </c>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5"/>
      <c r="AL5" s="685"/>
      <c r="AM5" s="685"/>
      <c r="AN5" s="685"/>
      <c r="AO5" s="685"/>
      <c r="AP5" s="685"/>
      <c r="AQ5" s="685"/>
      <c r="AR5" s="685"/>
      <c r="AS5" s="685"/>
      <c r="AT5" s="685"/>
      <c r="AU5" s="685"/>
      <c r="AV5" s="685"/>
      <c r="AW5" s="685"/>
      <c r="AX5" s="685"/>
      <c r="AY5" s="685"/>
      <c r="AZ5" s="685"/>
      <c r="BA5" s="685"/>
      <c r="BB5" s="685"/>
      <c r="BC5" s="685"/>
      <c r="BD5" s="685"/>
      <c r="BE5" s="685"/>
      <c r="BF5" s="685"/>
      <c r="BG5" s="685"/>
      <c r="BH5" s="685"/>
      <c r="BI5" s="685"/>
      <c r="BJ5" s="685"/>
      <c r="BK5" s="685"/>
      <c r="BL5" s="685"/>
      <c r="BM5" s="685"/>
      <c r="BN5" s="685"/>
      <c r="BO5" s="685"/>
      <c r="BP5" s="685"/>
      <c r="BQ5" s="685"/>
      <c r="BR5" s="685"/>
      <c r="BS5" s="685"/>
      <c r="BT5" s="685"/>
      <c r="BU5" s="685"/>
      <c r="BV5" s="685"/>
      <c r="BW5" s="685"/>
      <c r="BX5" s="685"/>
      <c r="BY5" s="685"/>
      <c r="BZ5" s="685"/>
      <c r="CA5" s="685"/>
      <c r="CB5" s="685"/>
      <c r="CC5" s="685"/>
      <c r="CD5" s="685"/>
      <c r="CE5" s="685"/>
      <c r="CF5" s="685"/>
      <c r="CG5" s="685"/>
      <c r="CH5" s="685"/>
      <c r="CI5" s="685"/>
      <c r="CJ5" s="685"/>
      <c r="CK5" s="685"/>
      <c r="CL5" s="685"/>
      <c r="CM5" s="685"/>
      <c r="CN5" s="685"/>
      <c r="CO5" s="685"/>
      <c r="CP5" s="685"/>
      <c r="CQ5" s="685"/>
      <c r="CR5" s="685"/>
      <c r="CS5" s="685"/>
      <c r="CT5" s="685"/>
      <c r="CU5" s="685"/>
      <c r="CV5" s="685"/>
      <c r="CW5" s="685"/>
      <c r="CX5" s="685"/>
      <c r="CY5" s="685"/>
      <c r="CZ5" s="685"/>
      <c r="DA5" s="685"/>
      <c r="DB5" s="685"/>
      <c r="DC5" s="685"/>
      <c r="DD5" s="685"/>
      <c r="DE5" s="685"/>
      <c r="DF5" s="685"/>
      <c r="DG5" s="685"/>
      <c r="DH5" s="685"/>
      <c r="DI5" s="685"/>
      <c r="DJ5" s="685"/>
      <c r="DK5" s="685"/>
      <c r="DL5" s="685"/>
      <c r="DM5" s="685"/>
      <c r="DN5" s="685"/>
      <c r="DO5" s="685"/>
      <c r="DP5" s="685"/>
      <c r="DQ5" s="685"/>
      <c r="DR5" s="685"/>
      <c r="DS5" s="685"/>
      <c r="DT5" s="685"/>
      <c r="DU5" s="685"/>
      <c r="DV5" s="685"/>
      <c r="DW5" s="685"/>
      <c r="DX5" s="685"/>
      <c r="DY5" s="685"/>
      <c r="DZ5" s="685"/>
      <c r="EA5" s="685"/>
      <c r="EB5" s="685"/>
      <c r="EC5" s="685"/>
      <c r="ED5" s="685"/>
      <c r="EE5" s="685"/>
      <c r="EF5" s="685"/>
      <c r="EG5" s="685"/>
      <c r="EH5" s="685"/>
      <c r="EI5" s="685"/>
      <c r="EJ5" s="685"/>
      <c r="EK5" s="685"/>
      <c r="EL5" s="685"/>
      <c r="EM5" s="685"/>
      <c r="EN5" s="685"/>
      <c r="EO5" s="685"/>
      <c r="EP5" s="685"/>
      <c r="EQ5" s="685"/>
      <c r="ER5" s="685"/>
      <c r="ES5" s="685"/>
      <c r="ET5" s="685"/>
      <c r="EU5" s="685"/>
      <c r="EV5" s="685"/>
      <c r="EW5" s="685"/>
      <c r="EX5" s="685"/>
      <c r="EY5" s="685"/>
      <c r="EZ5" s="685"/>
      <c r="FA5" s="688"/>
      <c r="FB5" s="1"/>
    </row>
    <row r="6" spans="1:160" ht="20.25" customHeight="1" x14ac:dyDescent="0.25">
      <c r="A6" s="1"/>
      <c r="B6" s="1"/>
      <c r="C6" s="1"/>
      <c r="D6" s="64"/>
      <c r="E6" s="64"/>
      <c r="F6" s="65"/>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7"/>
      <c r="AO6" s="66"/>
      <c r="AP6" s="68"/>
      <c r="AQ6" s="66"/>
      <c r="AR6" s="66"/>
      <c r="AS6" s="66"/>
      <c r="AT6" s="66"/>
      <c r="AU6" s="66"/>
      <c r="AV6" s="68"/>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8"/>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9"/>
      <c r="ES6" s="69"/>
      <c r="ET6" s="1"/>
      <c r="EU6" s="1"/>
      <c r="EV6" s="1"/>
      <c r="EW6" s="1"/>
      <c r="EX6" s="1"/>
      <c r="EY6" s="1"/>
      <c r="EZ6" s="1"/>
      <c r="FA6" s="1"/>
      <c r="FB6" s="1"/>
    </row>
    <row r="7" spans="1:160" ht="32.25" customHeight="1" x14ac:dyDescent="0.25">
      <c r="A7" s="746" t="s">
        <v>211</v>
      </c>
      <c r="B7" s="670"/>
      <c r="C7" s="670"/>
      <c r="D7" s="670"/>
      <c r="E7" s="670"/>
      <c r="F7" s="670"/>
      <c r="G7" s="671"/>
      <c r="H7" s="745" t="s">
        <v>212</v>
      </c>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5"/>
      <c r="AI7" s="685"/>
      <c r="AJ7" s="685"/>
      <c r="AK7" s="685"/>
      <c r="AL7" s="685"/>
      <c r="AM7" s="685"/>
      <c r="AN7" s="685"/>
      <c r="AO7" s="685"/>
      <c r="AP7" s="685"/>
      <c r="AQ7" s="685"/>
      <c r="AR7" s="685"/>
      <c r="AS7" s="685"/>
      <c r="AT7" s="685"/>
      <c r="AU7" s="685"/>
      <c r="AV7" s="685"/>
      <c r="AW7" s="685"/>
      <c r="AX7" s="685"/>
      <c r="AY7" s="685"/>
      <c r="AZ7" s="685"/>
      <c r="BA7" s="685"/>
      <c r="BB7" s="685"/>
      <c r="BC7" s="685"/>
      <c r="BD7" s="685"/>
      <c r="BE7" s="685"/>
      <c r="BF7" s="685"/>
      <c r="BG7" s="685"/>
      <c r="BH7" s="685"/>
      <c r="BI7" s="685"/>
      <c r="BJ7" s="685"/>
      <c r="BK7" s="685"/>
      <c r="BL7" s="685"/>
      <c r="BM7" s="685"/>
      <c r="BN7" s="685"/>
      <c r="BO7" s="685"/>
      <c r="BP7" s="685"/>
      <c r="BQ7" s="685"/>
      <c r="BR7" s="685"/>
      <c r="BS7" s="685"/>
      <c r="BT7" s="685"/>
      <c r="BU7" s="685"/>
      <c r="BV7" s="685"/>
      <c r="BW7" s="685"/>
      <c r="BX7" s="685"/>
      <c r="BY7" s="685"/>
      <c r="BZ7" s="685"/>
      <c r="CA7" s="685"/>
      <c r="CB7" s="685"/>
      <c r="CC7" s="685"/>
      <c r="CD7" s="685"/>
      <c r="CE7" s="685"/>
      <c r="CF7" s="685"/>
      <c r="CG7" s="685"/>
      <c r="CH7" s="685"/>
      <c r="CI7" s="685"/>
      <c r="CJ7" s="685"/>
      <c r="CK7" s="685"/>
      <c r="CL7" s="685"/>
      <c r="CM7" s="685"/>
      <c r="CN7" s="685"/>
      <c r="CO7" s="685"/>
      <c r="CP7" s="685"/>
      <c r="CQ7" s="685"/>
      <c r="CR7" s="685"/>
      <c r="CS7" s="685"/>
      <c r="CT7" s="685"/>
      <c r="CU7" s="685"/>
      <c r="CV7" s="685"/>
      <c r="CW7" s="685"/>
      <c r="CX7" s="685"/>
      <c r="CY7" s="685"/>
      <c r="CZ7" s="685"/>
      <c r="DA7" s="685"/>
      <c r="DB7" s="685"/>
      <c r="DC7" s="685"/>
      <c r="DD7" s="685"/>
      <c r="DE7" s="685"/>
      <c r="DF7" s="685"/>
      <c r="DG7" s="685"/>
      <c r="DH7" s="685"/>
      <c r="DI7" s="685"/>
      <c r="DJ7" s="685"/>
      <c r="DK7" s="685"/>
      <c r="DL7" s="685"/>
      <c r="DM7" s="685"/>
      <c r="DN7" s="685"/>
      <c r="DO7" s="685"/>
      <c r="DP7" s="685"/>
      <c r="DQ7" s="685"/>
      <c r="DR7" s="685"/>
      <c r="DS7" s="685"/>
      <c r="DT7" s="685"/>
      <c r="DU7" s="685"/>
      <c r="DV7" s="685"/>
      <c r="DW7" s="685"/>
      <c r="DX7" s="685"/>
      <c r="DY7" s="685"/>
      <c r="DZ7" s="685"/>
      <c r="EA7" s="685"/>
      <c r="EB7" s="685"/>
      <c r="EC7" s="685"/>
      <c r="ED7" s="685"/>
      <c r="EE7" s="685"/>
      <c r="EF7" s="685"/>
      <c r="EG7" s="685"/>
      <c r="EH7" s="685"/>
      <c r="EI7" s="685"/>
      <c r="EJ7" s="685"/>
      <c r="EK7" s="685"/>
      <c r="EL7" s="685"/>
      <c r="EM7" s="685"/>
      <c r="EN7" s="685"/>
      <c r="EO7" s="685"/>
      <c r="EP7" s="685"/>
      <c r="EQ7" s="688"/>
      <c r="ER7" s="702" t="s">
        <v>13</v>
      </c>
      <c r="ES7" s="702" t="s">
        <v>14</v>
      </c>
      <c r="ET7" s="741" t="s">
        <v>15</v>
      </c>
      <c r="EU7" s="706" t="s">
        <v>213</v>
      </c>
      <c r="EV7" s="742" t="s">
        <v>17</v>
      </c>
      <c r="EW7" s="693" t="s">
        <v>214</v>
      </c>
      <c r="EX7" s="693" t="s">
        <v>215</v>
      </c>
      <c r="EY7" s="693" t="s">
        <v>216</v>
      </c>
      <c r="EZ7" s="693" t="s">
        <v>217</v>
      </c>
      <c r="FA7" s="696" t="s">
        <v>218</v>
      </c>
    </row>
    <row r="8" spans="1:160" ht="19.5" customHeight="1" x14ac:dyDescent="0.25">
      <c r="A8" s="675"/>
      <c r="B8" s="676"/>
      <c r="C8" s="676"/>
      <c r="D8" s="676"/>
      <c r="E8" s="676"/>
      <c r="F8" s="676"/>
      <c r="G8" s="677"/>
      <c r="H8" s="699" t="s">
        <v>219</v>
      </c>
      <c r="I8" s="685"/>
      <c r="J8" s="685"/>
      <c r="K8" s="685"/>
      <c r="L8" s="685"/>
      <c r="M8" s="685"/>
      <c r="N8" s="685"/>
      <c r="O8" s="685"/>
      <c r="P8" s="685"/>
      <c r="Q8" s="685"/>
      <c r="R8" s="685"/>
      <c r="S8" s="685"/>
      <c r="T8" s="685"/>
      <c r="U8" s="685"/>
      <c r="V8" s="685"/>
      <c r="W8" s="685"/>
      <c r="X8" s="685"/>
      <c r="Y8" s="685"/>
      <c r="Z8" s="685"/>
      <c r="AA8" s="688"/>
      <c r="AB8" s="699" t="s">
        <v>220</v>
      </c>
      <c r="AC8" s="685"/>
      <c r="AD8" s="685"/>
      <c r="AE8" s="685"/>
      <c r="AF8" s="685"/>
      <c r="AG8" s="685"/>
      <c r="AH8" s="685"/>
      <c r="AI8" s="685"/>
      <c r="AJ8" s="685"/>
      <c r="AK8" s="685"/>
      <c r="AL8" s="685"/>
      <c r="AM8" s="685"/>
      <c r="AN8" s="685"/>
      <c r="AO8" s="685"/>
      <c r="AP8" s="685"/>
      <c r="AQ8" s="685"/>
      <c r="AR8" s="685"/>
      <c r="AS8" s="685"/>
      <c r="AT8" s="685"/>
      <c r="AU8" s="685"/>
      <c r="AV8" s="685"/>
      <c r="AW8" s="685"/>
      <c r="AX8" s="685"/>
      <c r="AY8" s="685"/>
      <c r="AZ8" s="685"/>
      <c r="BA8" s="685"/>
      <c r="BB8" s="685"/>
      <c r="BC8" s="685"/>
      <c r="BD8" s="685"/>
      <c r="BE8" s="688"/>
      <c r="BF8" s="699" t="s">
        <v>26</v>
      </c>
      <c r="BG8" s="685"/>
      <c r="BH8" s="685"/>
      <c r="BI8" s="685"/>
      <c r="BJ8" s="685"/>
      <c r="BK8" s="685"/>
      <c r="BL8" s="685"/>
      <c r="BM8" s="685"/>
      <c r="BN8" s="685"/>
      <c r="BO8" s="685"/>
      <c r="BP8" s="685"/>
      <c r="BQ8" s="685"/>
      <c r="BR8" s="685"/>
      <c r="BS8" s="685"/>
      <c r="BT8" s="685"/>
      <c r="BU8" s="685"/>
      <c r="BV8" s="685"/>
      <c r="BW8" s="685"/>
      <c r="BX8" s="685"/>
      <c r="BY8" s="685"/>
      <c r="BZ8" s="685"/>
      <c r="CA8" s="685"/>
      <c r="CB8" s="685"/>
      <c r="CC8" s="685"/>
      <c r="CD8" s="685"/>
      <c r="CE8" s="685"/>
      <c r="CF8" s="685"/>
      <c r="CG8" s="685"/>
      <c r="CH8" s="685"/>
      <c r="CI8" s="688"/>
      <c r="CJ8" s="737" t="s">
        <v>27</v>
      </c>
      <c r="CK8" s="738"/>
      <c r="CL8" s="738"/>
      <c r="CM8" s="738"/>
      <c r="CN8" s="738"/>
      <c r="CO8" s="738"/>
      <c r="CP8" s="738"/>
      <c r="CQ8" s="738"/>
      <c r="CR8" s="738"/>
      <c r="CS8" s="738"/>
      <c r="CT8" s="738"/>
      <c r="CU8" s="738"/>
      <c r="CV8" s="738"/>
      <c r="CW8" s="738"/>
      <c r="CX8" s="738"/>
      <c r="CY8" s="738"/>
      <c r="CZ8" s="738"/>
      <c r="DA8" s="738"/>
      <c r="DB8" s="738"/>
      <c r="DC8" s="738"/>
      <c r="DD8" s="738"/>
      <c r="DE8" s="738"/>
      <c r="DF8" s="738"/>
      <c r="DG8" s="738"/>
      <c r="DH8" s="738"/>
      <c r="DI8" s="738"/>
      <c r="DJ8" s="738"/>
      <c r="DK8" s="738"/>
      <c r="DL8" s="738"/>
      <c r="DM8" s="739"/>
      <c r="DN8" s="737" t="s">
        <v>28</v>
      </c>
      <c r="DO8" s="738"/>
      <c r="DP8" s="738"/>
      <c r="DQ8" s="738"/>
      <c r="DR8" s="738"/>
      <c r="DS8" s="738"/>
      <c r="DT8" s="738"/>
      <c r="DU8" s="738"/>
      <c r="DV8" s="738"/>
      <c r="DW8" s="738"/>
      <c r="DX8" s="738"/>
      <c r="DY8" s="738"/>
      <c r="DZ8" s="738"/>
      <c r="EA8" s="738"/>
      <c r="EB8" s="738"/>
      <c r="EC8" s="738"/>
      <c r="ED8" s="738"/>
      <c r="EE8" s="738"/>
      <c r="EF8" s="738"/>
      <c r="EG8" s="738"/>
      <c r="EH8" s="738"/>
      <c r="EI8" s="738"/>
      <c r="EJ8" s="738"/>
      <c r="EK8" s="738"/>
      <c r="EL8" s="738"/>
      <c r="EM8" s="738"/>
      <c r="EN8" s="738"/>
      <c r="EO8" s="738"/>
      <c r="EP8" s="738"/>
      <c r="EQ8" s="740"/>
      <c r="ER8" s="703"/>
      <c r="ES8" s="703"/>
      <c r="ET8" s="703"/>
      <c r="EU8" s="703"/>
      <c r="EV8" s="743"/>
      <c r="EW8" s="694"/>
      <c r="EX8" s="694"/>
      <c r="EY8" s="694"/>
      <c r="EZ8" s="694"/>
      <c r="FA8" s="697"/>
    </row>
    <row r="9" spans="1:160" ht="92.25" customHeight="1" x14ac:dyDescent="0.25">
      <c r="A9" s="70" t="s">
        <v>221</v>
      </c>
      <c r="B9" s="71" t="s">
        <v>222</v>
      </c>
      <c r="C9" s="72" t="s">
        <v>223</v>
      </c>
      <c r="D9" s="72" t="s">
        <v>224</v>
      </c>
      <c r="E9" s="72" t="s">
        <v>225</v>
      </c>
      <c r="F9" s="72" t="s">
        <v>226</v>
      </c>
      <c r="G9" s="73" t="s">
        <v>227</v>
      </c>
      <c r="H9" s="16" t="s">
        <v>228</v>
      </c>
      <c r="I9" s="17" t="s">
        <v>229</v>
      </c>
      <c r="J9" s="18" t="s">
        <v>230</v>
      </c>
      <c r="K9" s="17" t="s">
        <v>231</v>
      </c>
      <c r="L9" s="18" t="s">
        <v>232</v>
      </c>
      <c r="M9" s="17" t="s">
        <v>233</v>
      </c>
      <c r="N9" s="18" t="s">
        <v>234</v>
      </c>
      <c r="O9" s="17" t="s">
        <v>235</v>
      </c>
      <c r="P9" s="18" t="s">
        <v>236</v>
      </c>
      <c r="Q9" s="17" t="s">
        <v>237</v>
      </c>
      <c r="R9" s="18" t="s">
        <v>238</v>
      </c>
      <c r="S9" s="17" t="s">
        <v>239</v>
      </c>
      <c r="T9" s="18" t="s">
        <v>240</v>
      </c>
      <c r="U9" s="17" t="s">
        <v>241</v>
      </c>
      <c r="V9" s="19" t="s">
        <v>242</v>
      </c>
      <c r="W9" s="20" t="s">
        <v>53</v>
      </c>
      <c r="X9" s="24" t="s">
        <v>54</v>
      </c>
      <c r="Y9" s="22" t="s">
        <v>55</v>
      </c>
      <c r="Z9" s="23" t="s">
        <v>56</v>
      </c>
      <c r="AA9" s="22" t="s">
        <v>57</v>
      </c>
      <c r="AB9" s="16" t="s">
        <v>243</v>
      </c>
      <c r="AC9" s="17" t="s">
        <v>244</v>
      </c>
      <c r="AD9" s="18" t="s">
        <v>245</v>
      </c>
      <c r="AE9" s="17" t="s">
        <v>246</v>
      </c>
      <c r="AF9" s="18" t="s">
        <v>247</v>
      </c>
      <c r="AG9" s="17" t="s">
        <v>248</v>
      </c>
      <c r="AH9" s="18" t="s">
        <v>249</v>
      </c>
      <c r="AI9" s="17" t="s">
        <v>250</v>
      </c>
      <c r="AJ9" s="18" t="s">
        <v>251</v>
      </c>
      <c r="AK9" s="17" t="s">
        <v>252</v>
      </c>
      <c r="AL9" s="18" t="s">
        <v>253</v>
      </c>
      <c r="AM9" s="17" t="s">
        <v>254</v>
      </c>
      <c r="AN9" s="18" t="s">
        <v>255</v>
      </c>
      <c r="AO9" s="17" t="s">
        <v>256</v>
      </c>
      <c r="AP9" s="18" t="s">
        <v>257</v>
      </c>
      <c r="AQ9" s="17" t="s">
        <v>258</v>
      </c>
      <c r="AR9" s="18" t="s">
        <v>259</v>
      </c>
      <c r="AS9" s="17" t="s">
        <v>260</v>
      </c>
      <c r="AT9" s="18" t="s">
        <v>261</v>
      </c>
      <c r="AU9" s="17" t="s">
        <v>262</v>
      </c>
      <c r="AV9" s="18" t="s">
        <v>263</v>
      </c>
      <c r="AW9" s="17" t="s">
        <v>264</v>
      </c>
      <c r="AX9" s="18" t="s">
        <v>265</v>
      </c>
      <c r="AY9" s="17" t="s">
        <v>266</v>
      </c>
      <c r="AZ9" s="19" t="s">
        <v>267</v>
      </c>
      <c r="BA9" s="20" t="s">
        <v>53</v>
      </c>
      <c r="BB9" s="24" t="s">
        <v>83</v>
      </c>
      <c r="BC9" s="22" t="s">
        <v>84</v>
      </c>
      <c r="BD9" s="23" t="s">
        <v>85</v>
      </c>
      <c r="BE9" s="22" t="s">
        <v>86</v>
      </c>
      <c r="BF9" s="16" t="s">
        <v>268</v>
      </c>
      <c r="BG9" s="74" t="s">
        <v>269</v>
      </c>
      <c r="BH9" s="75" t="s">
        <v>270</v>
      </c>
      <c r="BI9" s="74" t="s">
        <v>271</v>
      </c>
      <c r="BJ9" s="75" t="s">
        <v>272</v>
      </c>
      <c r="BK9" s="74" t="s">
        <v>273</v>
      </c>
      <c r="BL9" s="75" t="s">
        <v>274</v>
      </c>
      <c r="BM9" s="74" t="s">
        <v>275</v>
      </c>
      <c r="BN9" s="75" t="s">
        <v>276</v>
      </c>
      <c r="BO9" s="74" t="s">
        <v>277</v>
      </c>
      <c r="BP9" s="75" t="s">
        <v>278</v>
      </c>
      <c r="BQ9" s="74" t="s">
        <v>279</v>
      </c>
      <c r="BR9" s="75" t="s">
        <v>280</v>
      </c>
      <c r="BS9" s="74" t="s">
        <v>281</v>
      </c>
      <c r="BT9" s="75" t="s">
        <v>282</v>
      </c>
      <c r="BU9" s="74" t="s">
        <v>283</v>
      </c>
      <c r="BV9" s="75" t="s">
        <v>284</v>
      </c>
      <c r="BW9" s="74" t="s">
        <v>285</v>
      </c>
      <c r="BX9" s="75" t="s">
        <v>286</v>
      </c>
      <c r="BY9" s="74" t="s">
        <v>287</v>
      </c>
      <c r="BZ9" s="75" t="s">
        <v>288</v>
      </c>
      <c r="CA9" s="74" t="s">
        <v>289</v>
      </c>
      <c r="CB9" s="75" t="s">
        <v>290</v>
      </c>
      <c r="CC9" s="74" t="s">
        <v>291</v>
      </c>
      <c r="CD9" s="76" t="s">
        <v>292</v>
      </c>
      <c r="CE9" s="20" t="s">
        <v>53</v>
      </c>
      <c r="CF9" s="23" t="s">
        <v>112</v>
      </c>
      <c r="CG9" s="22" t="s">
        <v>113</v>
      </c>
      <c r="CH9" s="23" t="s">
        <v>114</v>
      </c>
      <c r="CI9" s="22" t="s">
        <v>115</v>
      </c>
      <c r="CJ9" s="16" t="s">
        <v>293</v>
      </c>
      <c r="CK9" s="74" t="s">
        <v>294</v>
      </c>
      <c r="CL9" s="75" t="s">
        <v>295</v>
      </c>
      <c r="CM9" s="74" t="s">
        <v>296</v>
      </c>
      <c r="CN9" s="75" t="s">
        <v>297</v>
      </c>
      <c r="CO9" s="74" t="s">
        <v>298</v>
      </c>
      <c r="CP9" s="75" t="s">
        <v>299</v>
      </c>
      <c r="CQ9" s="74" t="s">
        <v>300</v>
      </c>
      <c r="CR9" s="75" t="s">
        <v>301</v>
      </c>
      <c r="CS9" s="74" t="s">
        <v>302</v>
      </c>
      <c r="CT9" s="75" t="s">
        <v>303</v>
      </c>
      <c r="CU9" s="74" t="s">
        <v>304</v>
      </c>
      <c r="CV9" s="75" t="s">
        <v>305</v>
      </c>
      <c r="CW9" s="74" t="s">
        <v>306</v>
      </c>
      <c r="CX9" s="75" t="s">
        <v>307</v>
      </c>
      <c r="CY9" s="74" t="s">
        <v>308</v>
      </c>
      <c r="CZ9" s="75" t="s">
        <v>309</v>
      </c>
      <c r="DA9" s="74" t="s">
        <v>310</v>
      </c>
      <c r="DB9" s="75" t="s">
        <v>311</v>
      </c>
      <c r="DC9" s="74" t="s">
        <v>312</v>
      </c>
      <c r="DD9" s="75" t="s">
        <v>313</v>
      </c>
      <c r="DE9" s="74" t="s">
        <v>314</v>
      </c>
      <c r="DF9" s="75" t="s">
        <v>315</v>
      </c>
      <c r="DG9" s="74" t="s">
        <v>316</v>
      </c>
      <c r="DH9" s="75" t="s">
        <v>317</v>
      </c>
      <c r="DI9" s="77" t="s">
        <v>53</v>
      </c>
      <c r="DJ9" s="26" t="s">
        <v>141</v>
      </c>
      <c r="DK9" s="27" t="s">
        <v>142</v>
      </c>
      <c r="DL9" s="28" t="s">
        <v>143</v>
      </c>
      <c r="DM9" s="27" t="s">
        <v>144</v>
      </c>
      <c r="DN9" s="16" t="s">
        <v>318</v>
      </c>
      <c r="DO9" s="17" t="s">
        <v>319</v>
      </c>
      <c r="DP9" s="18" t="s">
        <v>320</v>
      </c>
      <c r="DQ9" s="17" t="s">
        <v>321</v>
      </c>
      <c r="DR9" s="18" t="s">
        <v>322</v>
      </c>
      <c r="DS9" s="17" t="s">
        <v>323</v>
      </c>
      <c r="DT9" s="18" t="s">
        <v>324</v>
      </c>
      <c r="DU9" s="17" t="s">
        <v>325</v>
      </c>
      <c r="DV9" s="18" t="s">
        <v>326</v>
      </c>
      <c r="DW9" s="17" t="s">
        <v>327</v>
      </c>
      <c r="DX9" s="18" t="s">
        <v>328</v>
      </c>
      <c r="DY9" s="17" t="s">
        <v>329</v>
      </c>
      <c r="DZ9" s="18" t="s">
        <v>330</v>
      </c>
      <c r="EA9" s="17" t="s">
        <v>331</v>
      </c>
      <c r="EB9" s="18" t="s">
        <v>332</v>
      </c>
      <c r="EC9" s="17" t="s">
        <v>333</v>
      </c>
      <c r="ED9" s="18" t="s">
        <v>334</v>
      </c>
      <c r="EE9" s="17" t="s">
        <v>335</v>
      </c>
      <c r="EF9" s="18" t="s">
        <v>336</v>
      </c>
      <c r="EG9" s="17" t="s">
        <v>337</v>
      </c>
      <c r="EH9" s="18" t="s">
        <v>338</v>
      </c>
      <c r="EI9" s="17" t="s">
        <v>339</v>
      </c>
      <c r="EJ9" s="18" t="s">
        <v>340</v>
      </c>
      <c r="EK9" s="17" t="s">
        <v>341</v>
      </c>
      <c r="EL9" s="18" t="s">
        <v>342</v>
      </c>
      <c r="EM9" s="77" t="s">
        <v>53</v>
      </c>
      <c r="EN9" s="26" t="s">
        <v>170</v>
      </c>
      <c r="EO9" s="27" t="s">
        <v>171</v>
      </c>
      <c r="EP9" s="28" t="s">
        <v>172</v>
      </c>
      <c r="EQ9" s="27" t="s">
        <v>173</v>
      </c>
      <c r="ER9" s="704"/>
      <c r="ES9" s="704"/>
      <c r="ET9" s="704"/>
      <c r="EU9" s="704"/>
      <c r="EV9" s="744"/>
      <c r="EW9" s="695"/>
      <c r="EX9" s="695"/>
      <c r="EY9" s="695"/>
      <c r="EZ9" s="695"/>
      <c r="FA9" s="698"/>
    </row>
    <row r="10" spans="1:160" ht="32.25" customHeight="1" x14ac:dyDescent="0.25">
      <c r="A10" s="747" t="s">
        <v>343</v>
      </c>
      <c r="B10" s="756">
        <v>1</v>
      </c>
      <c r="C10" s="732" t="s">
        <v>344</v>
      </c>
      <c r="D10" s="732" t="s">
        <v>177</v>
      </c>
      <c r="E10" s="732">
        <v>200</v>
      </c>
      <c r="F10" s="78" t="s">
        <v>345</v>
      </c>
      <c r="G10" s="402">
        <f t="shared" ref="G10:G11" si="0">AA10+BE10+CI10+DL10+DN10</f>
        <v>600</v>
      </c>
      <c r="H10" s="402">
        <v>66</v>
      </c>
      <c r="I10" s="403"/>
      <c r="J10" s="404"/>
      <c r="K10" s="403">
        <v>66</v>
      </c>
      <c r="L10" s="405">
        <v>11</v>
      </c>
      <c r="M10" s="403">
        <v>66</v>
      </c>
      <c r="N10" s="405">
        <v>22</v>
      </c>
      <c r="O10" s="403">
        <v>66</v>
      </c>
      <c r="P10" s="405">
        <v>33</v>
      </c>
      <c r="Q10" s="403">
        <v>66</v>
      </c>
      <c r="R10" s="405">
        <v>44</v>
      </c>
      <c r="S10" s="405">
        <v>66</v>
      </c>
      <c r="T10" s="405">
        <v>55</v>
      </c>
      <c r="U10" s="405">
        <v>66</v>
      </c>
      <c r="V10" s="402">
        <v>66</v>
      </c>
      <c r="W10" s="406">
        <f t="shared" ref="W10:W15" si="1">+H10</f>
        <v>66</v>
      </c>
      <c r="X10" s="406">
        <f t="shared" ref="X10:X15" si="2">+H10</f>
        <v>66</v>
      </c>
      <c r="Y10" s="406">
        <f t="shared" ref="Y10:Y15" si="3">+V10</f>
        <v>66</v>
      </c>
      <c r="Z10" s="406">
        <f t="shared" ref="Z10:AA10" si="4">+U10</f>
        <v>66</v>
      </c>
      <c r="AA10" s="406">
        <f t="shared" si="4"/>
        <v>66</v>
      </c>
      <c r="AB10" s="402">
        <v>109</v>
      </c>
      <c r="AC10" s="402">
        <v>5</v>
      </c>
      <c r="AD10" s="402">
        <v>5</v>
      </c>
      <c r="AE10" s="402">
        <v>8</v>
      </c>
      <c r="AF10" s="402">
        <v>8</v>
      </c>
      <c r="AG10" s="402">
        <v>10</v>
      </c>
      <c r="AH10" s="402">
        <v>10</v>
      </c>
      <c r="AI10" s="402">
        <v>10</v>
      </c>
      <c r="AJ10" s="402">
        <v>10</v>
      </c>
      <c r="AK10" s="402">
        <v>10</v>
      </c>
      <c r="AL10" s="402">
        <v>10</v>
      </c>
      <c r="AM10" s="402">
        <v>10</v>
      </c>
      <c r="AN10" s="402">
        <v>10</v>
      </c>
      <c r="AO10" s="402">
        <v>10</v>
      </c>
      <c r="AP10" s="402">
        <v>10</v>
      </c>
      <c r="AQ10" s="402">
        <v>10</v>
      </c>
      <c r="AR10" s="402">
        <v>10</v>
      </c>
      <c r="AS10" s="402">
        <v>10</v>
      </c>
      <c r="AT10" s="402">
        <v>10</v>
      </c>
      <c r="AU10" s="402">
        <v>10</v>
      </c>
      <c r="AV10" s="402">
        <v>10</v>
      </c>
      <c r="AW10" s="402">
        <v>10</v>
      </c>
      <c r="AX10" s="402">
        <v>10</v>
      </c>
      <c r="AY10" s="402">
        <v>6</v>
      </c>
      <c r="AZ10" s="405">
        <v>10</v>
      </c>
      <c r="BA10" s="406">
        <f t="shared" ref="BA10:BA15" si="5">AY10+AW10+AU10+AS10+AO10+AM10+AK10+AI10+AG10+AE10+AC10+AQ10</f>
        <v>109</v>
      </c>
      <c r="BB10" s="406">
        <f t="shared" ref="BB10:BB15" si="6">AC10+AE10+AG10+AI10+AK10+AM10+AO10+AQ10+AS10+AU10+AW10+AY10</f>
        <v>109</v>
      </c>
      <c r="BC10" s="406">
        <f t="shared" ref="BC10:BC15" si="7">+AN10+AD10+AF10+AH10+AJ10+AL10+AP10+AR10+AT10+AV10+AX10+AZ10</f>
        <v>113</v>
      </c>
      <c r="BD10" s="406">
        <f t="shared" ref="BD10:BD15" si="8">BA10</f>
        <v>109</v>
      </c>
      <c r="BE10" s="406">
        <f t="shared" ref="BE10:BE15" si="9">AF10+AH10+AJ10+AL10+AD10+AN10+AP10+AR10+AT10+AV10+AX10+AZ10</f>
        <v>113</v>
      </c>
      <c r="BF10" s="402">
        <v>150</v>
      </c>
      <c r="BG10" s="406">
        <v>0</v>
      </c>
      <c r="BH10" s="406">
        <v>0</v>
      </c>
      <c r="BI10" s="406">
        <v>14</v>
      </c>
      <c r="BJ10" s="406">
        <v>14</v>
      </c>
      <c r="BK10" s="406">
        <v>14</v>
      </c>
      <c r="BL10" s="406">
        <v>14</v>
      </c>
      <c r="BM10" s="406">
        <v>14</v>
      </c>
      <c r="BN10" s="406">
        <v>14</v>
      </c>
      <c r="BO10" s="406">
        <v>14</v>
      </c>
      <c r="BP10" s="406">
        <v>14</v>
      </c>
      <c r="BQ10" s="406">
        <v>14</v>
      </c>
      <c r="BR10" s="406">
        <v>14</v>
      </c>
      <c r="BS10" s="406">
        <v>14</v>
      </c>
      <c r="BT10" s="406">
        <v>14</v>
      </c>
      <c r="BU10" s="406">
        <v>14</v>
      </c>
      <c r="BV10" s="406">
        <v>14</v>
      </c>
      <c r="BW10" s="406">
        <v>14</v>
      </c>
      <c r="BX10" s="406">
        <v>14</v>
      </c>
      <c r="BY10" s="406">
        <v>14</v>
      </c>
      <c r="BZ10" s="406">
        <v>14</v>
      </c>
      <c r="CA10" s="406">
        <v>14</v>
      </c>
      <c r="CB10" s="406">
        <v>14</v>
      </c>
      <c r="CC10" s="406">
        <v>10</v>
      </c>
      <c r="CD10" s="406">
        <v>10</v>
      </c>
      <c r="CE10" s="406">
        <f t="shared" ref="CE10:CE11" si="10">CC10+CA10+BY10+BW10+BS10+BQ10+BO10+BM10+BK10+BI10+BG10+BU10</f>
        <v>150</v>
      </c>
      <c r="CF10" s="406">
        <f t="shared" ref="CF10:CF15" si="11">+BG10+BI10+BK10+BM10+BO10+BQ10+BS10+BU10+BW10+BY10+CA10+CC10</f>
        <v>150</v>
      </c>
      <c r="CG10" s="406">
        <f t="shared" ref="CG10:CG15" si="12">+BR10+BH10+BJ10+BL10+BN10+BP10+BT10+BV10+BX10+BZ10+CB10+CD10</f>
        <v>150</v>
      </c>
      <c r="CH10" s="406">
        <f t="shared" ref="CH10:CH15" si="13">CE10</f>
        <v>150</v>
      </c>
      <c r="CI10" s="405">
        <f t="shared" ref="CI10:CI15" si="14">BJ10+BL10+BN10+BP10+BH10+BR10+BT10+BV10+BX10+BZ10+CB10+CD10</f>
        <v>150</v>
      </c>
      <c r="CJ10" s="402">
        <v>190</v>
      </c>
      <c r="CK10" s="402">
        <v>5</v>
      </c>
      <c r="CL10" s="402">
        <v>5</v>
      </c>
      <c r="CM10" s="402">
        <v>17</v>
      </c>
      <c r="CN10" s="402">
        <v>17</v>
      </c>
      <c r="CO10" s="402">
        <v>18</v>
      </c>
      <c r="CP10" s="402">
        <v>18</v>
      </c>
      <c r="CQ10" s="402">
        <v>17</v>
      </c>
      <c r="CR10" s="402">
        <v>17</v>
      </c>
      <c r="CS10" s="402">
        <v>18</v>
      </c>
      <c r="CT10" s="402">
        <v>18</v>
      </c>
      <c r="CU10" s="402">
        <v>17</v>
      </c>
      <c r="CV10" s="402">
        <v>18</v>
      </c>
      <c r="CW10" s="402">
        <v>18</v>
      </c>
      <c r="CX10" s="402">
        <v>18</v>
      </c>
      <c r="CY10" s="402">
        <v>17</v>
      </c>
      <c r="CZ10" s="402">
        <v>18</v>
      </c>
      <c r="DA10" s="402">
        <v>18</v>
      </c>
      <c r="DB10" s="402">
        <v>18</v>
      </c>
      <c r="DC10" s="402">
        <v>17</v>
      </c>
      <c r="DD10" s="402">
        <v>18</v>
      </c>
      <c r="DE10" s="402">
        <v>18</v>
      </c>
      <c r="DF10" s="402">
        <v>10</v>
      </c>
      <c r="DG10" s="402">
        <v>10</v>
      </c>
      <c r="DH10" s="402">
        <v>10</v>
      </c>
      <c r="DI10" s="406">
        <f>DG10+DE10+DC10+DA10+CW10+CY10+CU10+CS10+CQ10+CO10+CM10+CK10</f>
        <v>190</v>
      </c>
      <c r="DJ10" s="402">
        <f t="shared" ref="DJ10:DK10" si="15">CK10+CM10+CO10+CQ10+CS10+CU10+CW10+CY10+DA10+DC10+DE10+DG10</f>
        <v>190</v>
      </c>
      <c r="DK10" s="402">
        <f t="shared" si="15"/>
        <v>185</v>
      </c>
      <c r="DL10" s="406">
        <f t="shared" ref="DL10:DL15" si="16">DI10</f>
        <v>190</v>
      </c>
      <c r="DM10" s="405">
        <f t="shared" ref="DM10:DM15" si="17">CN10+CP10+CR10+CT10+CL10+CV10+CX10+CZ10+DB10+DD10+DF10+DH10</f>
        <v>185</v>
      </c>
      <c r="DN10" s="402">
        <v>81</v>
      </c>
      <c r="DO10" s="402"/>
      <c r="DP10" s="402"/>
      <c r="DQ10" s="402"/>
      <c r="DR10" s="402"/>
      <c r="DS10" s="402"/>
      <c r="DT10" s="402"/>
      <c r="DU10" s="402"/>
      <c r="DV10" s="402"/>
      <c r="DW10" s="402"/>
      <c r="DX10" s="402"/>
      <c r="DY10" s="402"/>
      <c r="DZ10" s="402"/>
      <c r="EA10" s="402"/>
      <c r="EB10" s="402"/>
      <c r="EC10" s="402"/>
      <c r="ED10" s="402"/>
      <c r="EE10" s="402"/>
      <c r="EF10" s="402"/>
      <c r="EG10" s="402"/>
      <c r="EH10" s="402"/>
      <c r="EI10" s="402"/>
      <c r="EJ10" s="402"/>
      <c r="EK10" s="402"/>
      <c r="EL10" s="402"/>
      <c r="EM10" s="406">
        <f>EK10+EI10+EG10+EE10+EA10+DY10+DW10+DU10+DS10+DQ10+DO10</f>
        <v>0</v>
      </c>
      <c r="EN10" s="406">
        <f t="shared" ref="EN10:EO10" si="18">DO10+DQ10+DS10+DU10</f>
        <v>0</v>
      </c>
      <c r="EO10" s="406">
        <f t="shared" si="18"/>
        <v>0</v>
      </c>
      <c r="EP10" s="406">
        <f>EM10+CO10</f>
        <v>18</v>
      </c>
      <c r="EQ10" s="406"/>
      <c r="ER10" s="407">
        <f>DH10/DG10</f>
        <v>1</v>
      </c>
      <c r="ES10" s="407">
        <f>DK10/DJ10</f>
        <v>0.97368421052631582</v>
      </c>
      <c r="ET10" s="408">
        <f>DM10/DL10</f>
        <v>0.97368421052631582</v>
      </c>
      <c r="EU10" s="408">
        <f>(AA10+BE10+CI10+DK10)/(Z10+BD10+CH10+DJ10)</f>
        <v>0.99805825242718449</v>
      </c>
      <c r="EV10" s="409">
        <f>(AA10+BE10+CI10+DM10)/G10</f>
        <v>0.85666666666666669</v>
      </c>
      <c r="EW10" s="767" t="s">
        <v>346</v>
      </c>
      <c r="EX10" s="736" t="s">
        <v>1349</v>
      </c>
      <c r="EY10" s="736" t="s">
        <v>1350</v>
      </c>
      <c r="EZ10" s="734" t="s">
        <v>347</v>
      </c>
      <c r="FA10" s="734" t="s">
        <v>348</v>
      </c>
      <c r="FB10" s="769"/>
      <c r="FC10" s="80"/>
      <c r="FD10" s="80"/>
    </row>
    <row r="11" spans="1:160" ht="34.5" customHeight="1" x14ac:dyDescent="0.25">
      <c r="A11" s="694"/>
      <c r="B11" s="694"/>
      <c r="C11" s="694"/>
      <c r="D11" s="694"/>
      <c r="E11" s="694"/>
      <c r="F11" s="81" t="s">
        <v>349</v>
      </c>
      <c r="G11" s="410">
        <f>AA11+BE11+CI11+DL11+DN11</f>
        <v>3554814365</v>
      </c>
      <c r="H11" s="410">
        <v>370304000</v>
      </c>
      <c r="I11" s="410"/>
      <c r="J11" s="410"/>
      <c r="K11" s="410">
        <v>370304000</v>
      </c>
      <c r="L11" s="410">
        <v>140580000</v>
      </c>
      <c r="M11" s="410">
        <v>361860000</v>
      </c>
      <c r="N11" s="410">
        <v>262457000</v>
      </c>
      <c r="O11" s="410">
        <v>361860000</v>
      </c>
      <c r="P11" s="410">
        <v>262457000</v>
      </c>
      <c r="Q11" s="410">
        <v>384597000</v>
      </c>
      <c r="R11" s="410">
        <v>262457000</v>
      </c>
      <c r="S11" s="410">
        <v>384597000</v>
      </c>
      <c r="T11" s="410">
        <v>312457000</v>
      </c>
      <c r="U11" s="410">
        <v>384597000</v>
      </c>
      <c r="V11" s="410">
        <v>384597000</v>
      </c>
      <c r="W11" s="410">
        <f t="shared" si="1"/>
        <v>370304000</v>
      </c>
      <c r="X11" s="410">
        <f t="shared" si="2"/>
        <v>370304000</v>
      </c>
      <c r="Y11" s="410">
        <f t="shared" si="3"/>
        <v>384597000</v>
      </c>
      <c r="Z11" s="410">
        <f t="shared" ref="Z11:AA11" si="19">+U11</f>
        <v>384597000</v>
      </c>
      <c r="AA11" s="410">
        <f t="shared" si="19"/>
        <v>384597000</v>
      </c>
      <c r="AB11" s="410">
        <v>574654000</v>
      </c>
      <c r="AC11" s="410">
        <v>0</v>
      </c>
      <c r="AD11" s="410">
        <v>0</v>
      </c>
      <c r="AE11" s="410">
        <v>308440000</v>
      </c>
      <c r="AF11" s="410">
        <v>308440000</v>
      </c>
      <c r="AG11" s="410">
        <f>495849000-AF11</f>
        <v>187409000</v>
      </c>
      <c r="AH11" s="410">
        <v>187409000</v>
      </c>
      <c r="AI11" s="410">
        <f>495849000-AF11-AH11</f>
        <v>0</v>
      </c>
      <c r="AJ11" s="410">
        <v>0</v>
      </c>
      <c r="AK11" s="410">
        <v>0</v>
      </c>
      <c r="AL11" s="410">
        <v>0</v>
      </c>
      <c r="AM11" s="410">
        <v>8622572</v>
      </c>
      <c r="AN11" s="410">
        <v>60358000</v>
      </c>
      <c r="AO11" s="410">
        <v>8622572</v>
      </c>
      <c r="AP11" s="410">
        <v>0</v>
      </c>
      <c r="AQ11" s="410">
        <v>0</v>
      </c>
      <c r="AR11" s="410">
        <v>0</v>
      </c>
      <c r="AS11" s="410">
        <v>76578856</v>
      </c>
      <c r="AT11" s="410">
        <v>16491500</v>
      </c>
      <c r="AU11" s="410">
        <f>15666000</f>
        <v>15666000</v>
      </c>
      <c r="AV11" s="410">
        <v>0</v>
      </c>
      <c r="AW11" s="410">
        <v>0</v>
      </c>
      <c r="AX11" s="410">
        <v>11263000</v>
      </c>
      <c r="AY11" s="410">
        <v>0</v>
      </c>
      <c r="AZ11" s="410">
        <v>6961000</v>
      </c>
      <c r="BA11" s="410">
        <f t="shared" si="5"/>
        <v>605339000</v>
      </c>
      <c r="BB11" s="410">
        <f t="shared" si="6"/>
        <v>605339000</v>
      </c>
      <c r="BC11" s="410">
        <f t="shared" si="7"/>
        <v>590922500</v>
      </c>
      <c r="BD11" s="410">
        <f t="shared" si="8"/>
        <v>605339000</v>
      </c>
      <c r="BE11" s="410">
        <f t="shared" si="9"/>
        <v>590922500</v>
      </c>
      <c r="BF11" s="410">
        <v>971277000</v>
      </c>
      <c r="BG11" s="410">
        <v>966887466</v>
      </c>
      <c r="BH11" s="410">
        <v>966887466</v>
      </c>
      <c r="BI11" s="410">
        <v>0</v>
      </c>
      <c r="BJ11" s="410">
        <v>0</v>
      </c>
      <c r="BK11" s="410">
        <f>4389534-835200</f>
        <v>3554334</v>
      </c>
      <c r="BL11" s="410">
        <v>0</v>
      </c>
      <c r="BM11" s="410">
        <v>0</v>
      </c>
      <c r="BN11" s="410"/>
      <c r="BO11" s="410">
        <v>0</v>
      </c>
      <c r="BP11" s="410"/>
      <c r="BQ11" s="410">
        <v>0</v>
      </c>
      <c r="BR11" s="410">
        <v>3500000</v>
      </c>
      <c r="BS11" s="410">
        <v>417600</v>
      </c>
      <c r="BT11" s="410">
        <v>0</v>
      </c>
      <c r="BU11" s="410"/>
      <c r="BV11" s="410">
        <v>0</v>
      </c>
      <c r="BW11" s="410">
        <v>22976000</v>
      </c>
      <c r="BX11" s="410">
        <v>23393600</v>
      </c>
      <c r="BY11" s="410">
        <v>23257000</v>
      </c>
      <c r="BZ11" s="410">
        <v>0</v>
      </c>
      <c r="CA11" s="410">
        <v>21744668</v>
      </c>
      <c r="CB11" s="410">
        <v>33335333</v>
      </c>
      <c r="CC11" s="410">
        <v>0</v>
      </c>
      <c r="CD11" s="410">
        <v>11720667</v>
      </c>
      <c r="CE11" s="410">
        <f t="shared" si="10"/>
        <v>1038837068</v>
      </c>
      <c r="CF11" s="410">
        <f t="shared" si="11"/>
        <v>1038837068</v>
      </c>
      <c r="CG11" s="410">
        <f t="shared" si="12"/>
        <v>1038837066</v>
      </c>
      <c r="CH11" s="410">
        <f t="shared" si="13"/>
        <v>1038837068</v>
      </c>
      <c r="CI11" s="410">
        <f t="shared" si="14"/>
        <v>1038837066</v>
      </c>
      <c r="CJ11" s="410">
        <v>825557000</v>
      </c>
      <c r="CK11" s="410">
        <v>382172000</v>
      </c>
      <c r="CL11" s="410">
        <v>382172000</v>
      </c>
      <c r="CM11" s="410">
        <v>385623000</v>
      </c>
      <c r="CN11" s="410">
        <v>385623000</v>
      </c>
      <c r="CO11" s="410">
        <v>0</v>
      </c>
      <c r="CP11" s="410">
        <v>0</v>
      </c>
      <c r="CQ11" s="410">
        <v>0</v>
      </c>
      <c r="CR11" s="410">
        <v>0</v>
      </c>
      <c r="CS11" s="410">
        <v>28460000</v>
      </c>
      <c r="CT11" s="410">
        <v>0</v>
      </c>
      <c r="CU11" s="410"/>
      <c r="CV11" s="410">
        <v>15734000</v>
      </c>
      <c r="CW11" s="410">
        <f>500000+37830067</f>
        <v>38330067</v>
      </c>
      <c r="CX11" s="410">
        <v>0</v>
      </c>
      <c r="CY11" s="410"/>
      <c r="CZ11" s="410">
        <v>0</v>
      </c>
      <c r="DA11" s="410">
        <v>-10146501</v>
      </c>
      <c r="DB11" s="410">
        <v>28460000</v>
      </c>
      <c r="DC11" s="410">
        <v>0</v>
      </c>
      <c r="DD11" s="410">
        <v>0</v>
      </c>
      <c r="DE11" s="410">
        <v>-2059767</v>
      </c>
      <c r="DF11" s="410"/>
      <c r="DG11" s="410">
        <f>+CJ11-796755000</f>
        <v>28802000</v>
      </c>
      <c r="DH11" s="410">
        <v>37830067</v>
      </c>
      <c r="DI11" s="410">
        <f t="shared" ref="DI11:DI15" si="20">DG11+DE11+DC11+DA11+CW11+CY11+CU11+CS11+CQ11+CO11+CM11+CK11</f>
        <v>851180799</v>
      </c>
      <c r="DJ11" s="410">
        <f t="shared" ref="DJ11:DK11" si="21">CK11+CM11+CO11+CQ11+CS11+CU11+CW11+CY11+DA11+DC11+DE11+DG11</f>
        <v>851180799</v>
      </c>
      <c r="DK11" s="410">
        <f t="shared" si="21"/>
        <v>849819067</v>
      </c>
      <c r="DL11" s="410">
        <f t="shared" si="16"/>
        <v>851180799</v>
      </c>
      <c r="DM11" s="410">
        <f t="shared" si="17"/>
        <v>849819067</v>
      </c>
      <c r="DN11" s="410">
        <v>689277000</v>
      </c>
      <c r="DO11" s="411"/>
      <c r="DP11" s="411"/>
      <c r="DQ11" s="411"/>
      <c r="DR11" s="411"/>
      <c r="DS11" s="411"/>
      <c r="DT11" s="411"/>
      <c r="DU11" s="411"/>
      <c r="DV11" s="411"/>
      <c r="DW11" s="411"/>
      <c r="DX11" s="411"/>
      <c r="DY11" s="411"/>
      <c r="DZ11" s="411"/>
      <c r="EA11" s="411"/>
      <c r="EB11" s="411"/>
      <c r="EC11" s="411"/>
      <c r="ED11" s="411"/>
      <c r="EE11" s="411"/>
      <c r="EF11" s="411"/>
      <c r="EG11" s="411"/>
      <c r="EH11" s="411"/>
      <c r="EI11" s="411"/>
      <c r="EJ11" s="411"/>
      <c r="EK11" s="411"/>
      <c r="EL11" s="411"/>
      <c r="EM11" s="402">
        <f>EK11+EI11+EG11+EE11+EC11+EA11+DY11+DW11+DU11+DS11+DQ11+DO11</f>
        <v>0</v>
      </c>
      <c r="EN11" s="412">
        <f t="shared" ref="EN11:EO11" si="22">DO11+DQ11+DS11+DU11</f>
        <v>0</v>
      </c>
      <c r="EO11" s="412">
        <f t="shared" si="22"/>
        <v>0</v>
      </c>
      <c r="EP11" s="412">
        <f>DO11+DQ11+DS11+DU11+DW11+DY11+EA11+EC11+EE11+EI11+EK11</f>
        <v>0</v>
      </c>
      <c r="EQ11" s="413"/>
      <c r="ER11" s="407">
        <f t="shared" ref="ER11:ER74" si="23">DH11/DG11</f>
        <v>1.313452781056871</v>
      </c>
      <c r="ES11" s="407">
        <f t="shared" ref="ES11:ES12" si="24">DK11/DJ11</f>
        <v>0.99840018477672454</v>
      </c>
      <c r="ET11" s="408">
        <f t="shared" ref="ET11:ET12" si="25">DM11/DL11</f>
        <v>0.99840018477672454</v>
      </c>
      <c r="EU11" s="408">
        <f t="shared" ref="EU11:EU12" si="26">(AA11+BE11+CI11+DK11)/(Z11+BD11+CH11+DJ11)</f>
        <v>0.99452135876869585</v>
      </c>
      <c r="EV11" s="409">
        <f t="shared" ref="EV11" si="27">(AA11+BE11+CI11+DM11)/G11</f>
        <v>0.8057173564954917</v>
      </c>
      <c r="EW11" s="772"/>
      <c r="EX11" s="736"/>
      <c r="EY11" s="736"/>
      <c r="EZ11" s="735"/>
      <c r="FA11" s="735"/>
      <c r="FB11" s="770"/>
      <c r="FC11" s="82"/>
      <c r="FD11" s="82"/>
    </row>
    <row r="12" spans="1:160" ht="20.25" customHeight="1" x14ac:dyDescent="0.25">
      <c r="A12" s="694"/>
      <c r="B12" s="694"/>
      <c r="C12" s="694"/>
      <c r="D12" s="694"/>
      <c r="E12" s="694"/>
      <c r="F12" s="83" t="s">
        <v>350</v>
      </c>
      <c r="G12" s="411"/>
      <c r="H12" s="414"/>
      <c r="I12" s="411"/>
      <c r="J12" s="411"/>
      <c r="K12" s="411"/>
      <c r="L12" s="411"/>
      <c r="M12" s="411"/>
      <c r="N12" s="411"/>
      <c r="O12" s="411"/>
      <c r="P12" s="411"/>
      <c r="Q12" s="411"/>
      <c r="R12" s="411"/>
      <c r="S12" s="411"/>
      <c r="T12" s="411"/>
      <c r="U12" s="411"/>
      <c r="V12" s="411"/>
      <c r="W12" s="406">
        <f t="shared" si="1"/>
        <v>0</v>
      </c>
      <c r="X12" s="406">
        <f t="shared" si="2"/>
        <v>0</v>
      </c>
      <c r="Y12" s="406">
        <f t="shared" si="3"/>
        <v>0</v>
      </c>
      <c r="Z12" s="410">
        <f t="shared" ref="Z12:AA12" si="28">+U12</f>
        <v>0</v>
      </c>
      <c r="AA12" s="410">
        <f t="shared" si="28"/>
        <v>0</v>
      </c>
      <c r="AB12" s="410"/>
      <c r="AC12" s="410"/>
      <c r="AD12" s="410"/>
      <c r="AE12" s="410"/>
      <c r="AF12" s="410"/>
      <c r="AG12" s="410">
        <v>12993393</v>
      </c>
      <c r="AH12" s="410">
        <v>12993393</v>
      </c>
      <c r="AI12" s="410">
        <f>53643627-AH12</f>
        <v>40650234</v>
      </c>
      <c r="AJ12" s="410">
        <v>40650234</v>
      </c>
      <c r="AK12" s="410">
        <v>65525280</v>
      </c>
      <c r="AL12" s="410">
        <v>65525280</v>
      </c>
      <c r="AM12" s="410">
        <v>61997237</v>
      </c>
      <c r="AN12" s="410">
        <v>54622860</v>
      </c>
      <c r="AO12" s="410">
        <v>58997237</v>
      </c>
      <c r="AP12" s="410">
        <v>51317000</v>
      </c>
      <c r="AQ12" s="410">
        <v>58997237</v>
      </c>
      <c r="AR12" s="410">
        <v>51317000</v>
      </c>
      <c r="AS12" s="410">
        <v>58997225</v>
      </c>
      <c r="AT12" s="410">
        <v>51317000</v>
      </c>
      <c r="AU12" s="410">
        <v>63829963</v>
      </c>
      <c r="AV12" s="410">
        <v>51317000</v>
      </c>
      <c r="AW12" s="410">
        <v>51988050</v>
      </c>
      <c r="AX12" s="410">
        <v>51317000</v>
      </c>
      <c r="AY12" s="410">
        <v>51988050</v>
      </c>
      <c r="AZ12" s="410">
        <v>96653000</v>
      </c>
      <c r="BA12" s="410">
        <f t="shared" si="5"/>
        <v>525963906</v>
      </c>
      <c r="BB12" s="410">
        <f t="shared" si="6"/>
        <v>525963906</v>
      </c>
      <c r="BC12" s="410">
        <f t="shared" si="7"/>
        <v>527029767</v>
      </c>
      <c r="BD12" s="410">
        <f t="shared" si="8"/>
        <v>525963906</v>
      </c>
      <c r="BE12" s="410">
        <f t="shared" si="9"/>
        <v>527029767</v>
      </c>
      <c r="BF12" s="410"/>
      <c r="BG12" s="410">
        <v>0</v>
      </c>
      <c r="BH12" s="410">
        <v>0</v>
      </c>
      <c r="BI12" s="410">
        <v>57430134</v>
      </c>
      <c r="BJ12" s="410">
        <v>5150933</v>
      </c>
      <c r="BK12" s="410">
        <v>96252167</v>
      </c>
      <c r="BL12" s="410">
        <f>59114600-5150933</f>
        <v>53963667</v>
      </c>
      <c r="BM12" s="410">
        <v>96252167</v>
      </c>
      <c r="BN12" s="410">
        <v>70757833</v>
      </c>
      <c r="BO12" s="410">
        <v>96252167</v>
      </c>
      <c r="BP12" s="410">
        <v>105738000</v>
      </c>
      <c r="BQ12" s="410">
        <v>96252167</v>
      </c>
      <c r="BR12" s="410">
        <v>80961995</v>
      </c>
      <c r="BS12" s="410">
        <v>96252167</v>
      </c>
      <c r="BT12" s="410">
        <v>102485178.99318039</v>
      </c>
      <c r="BU12" s="410">
        <v>96252167</v>
      </c>
      <c r="BV12" s="410">
        <v>56582488</v>
      </c>
      <c r="BW12" s="410">
        <v>96252167</v>
      </c>
      <c r="BX12" s="410">
        <v>58174868.891945243</v>
      </c>
      <c r="BY12" s="410">
        <v>90955567</v>
      </c>
      <c r="BZ12" s="410">
        <v>74552414.108054757</v>
      </c>
      <c r="CA12" s="410">
        <f>78717835+11488000</f>
        <v>90205835</v>
      </c>
      <c r="CB12" s="410">
        <v>76230341</v>
      </c>
      <c r="CC12" s="410">
        <v>126486391</v>
      </c>
      <c r="CD12" s="410">
        <v>108169239</v>
      </c>
      <c r="CE12" s="410">
        <v>1038837068</v>
      </c>
      <c r="CF12" s="410">
        <f t="shared" si="11"/>
        <v>1038843096</v>
      </c>
      <c r="CG12" s="410">
        <f t="shared" si="12"/>
        <v>792766957.99318039</v>
      </c>
      <c r="CH12" s="410">
        <f t="shared" si="13"/>
        <v>1038837068</v>
      </c>
      <c r="CI12" s="410">
        <f t="shared" si="14"/>
        <v>792766957.99318039</v>
      </c>
      <c r="CJ12" s="410">
        <v>825557000</v>
      </c>
      <c r="CK12" s="410">
        <v>0</v>
      </c>
      <c r="CL12" s="410">
        <v>0</v>
      </c>
      <c r="CM12" s="410">
        <v>0</v>
      </c>
      <c r="CN12" s="410">
        <v>0</v>
      </c>
      <c r="CO12" s="410">
        <v>28632200</v>
      </c>
      <c r="CP12" s="410">
        <v>28632200</v>
      </c>
      <c r="CQ12" s="410">
        <v>52344000</v>
      </c>
      <c r="CR12" s="410">
        <v>50282367</v>
      </c>
      <c r="CS12" s="410">
        <v>52344000</v>
      </c>
      <c r="CT12" s="410">
        <v>52344000</v>
      </c>
      <c r="CU12" s="410">
        <v>57422000</v>
      </c>
      <c r="CV12" s="410">
        <v>124115892.30402701</v>
      </c>
      <c r="CW12" s="410">
        <v>57422000</v>
      </c>
      <c r="CX12" s="410">
        <v>78008365</v>
      </c>
      <c r="CY12" s="410">
        <v>57422000</v>
      </c>
      <c r="CZ12" s="410">
        <v>94249173.677300334</v>
      </c>
      <c r="DA12" s="410">
        <v>52344000</v>
      </c>
      <c r="DB12" s="410">
        <v>83627967</v>
      </c>
      <c r="DC12" s="410">
        <v>52344000</v>
      </c>
      <c r="DD12" s="410">
        <v>62929386</v>
      </c>
      <c r="DE12" s="410">
        <v>52344000</v>
      </c>
      <c r="DF12" s="410">
        <v>61063341</v>
      </c>
      <c r="DG12" s="410">
        <f>362938800+25623799</f>
        <v>388562599</v>
      </c>
      <c r="DH12" s="410">
        <v>88893142</v>
      </c>
      <c r="DI12" s="410">
        <f>DG12+DE12+DC12+DA12+CW12+CY12+CU12+CS12+CQ12+CO12+CM12+CK12</f>
        <v>851180799</v>
      </c>
      <c r="DJ12" s="410">
        <f t="shared" ref="DJ12:DK12" si="29">CK12+CM12+CO12+CQ12+CS12+CU12+CW12+CY12+DA12+DC12+DE12+DG12</f>
        <v>851180799</v>
      </c>
      <c r="DK12" s="410">
        <f t="shared" si="29"/>
        <v>724145833.9813273</v>
      </c>
      <c r="DL12" s="410">
        <f t="shared" si="16"/>
        <v>851180799</v>
      </c>
      <c r="DM12" s="410">
        <f t="shared" si="17"/>
        <v>724145833.9813273</v>
      </c>
      <c r="DN12" s="410"/>
      <c r="DO12" s="411"/>
      <c r="DP12" s="411"/>
      <c r="DQ12" s="411"/>
      <c r="DR12" s="411"/>
      <c r="DS12" s="411"/>
      <c r="DT12" s="411"/>
      <c r="DU12" s="411"/>
      <c r="DV12" s="411"/>
      <c r="DW12" s="411"/>
      <c r="DX12" s="411"/>
      <c r="DY12" s="411"/>
      <c r="DZ12" s="411"/>
      <c r="EA12" s="411"/>
      <c r="EB12" s="411"/>
      <c r="EC12" s="411"/>
      <c r="ED12" s="411"/>
      <c r="EE12" s="411"/>
      <c r="EF12" s="411"/>
      <c r="EG12" s="411"/>
      <c r="EH12" s="411"/>
      <c r="EI12" s="411"/>
      <c r="EJ12" s="411"/>
      <c r="EK12" s="411"/>
      <c r="EL12" s="411"/>
      <c r="EM12" s="402">
        <f>EI12+EG12+EE12+EC12+EA12+DY12+DW12+DU12+DS12+DQ12+DO12+EK12</f>
        <v>0</v>
      </c>
      <c r="EN12" s="412">
        <f>+DO12+DQ12+DS12+DU12</f>
        <v>0</v>
      </c>
      <c r="EO12" s="412">
        <f>DP12+DR12+DT12+DV12</f>
        <v>0</v>
      </c>
      <c r="EP12" s="412">
        <f t="shared" ref="EP12:EP13" si="30">DQ12+DS12+DU12+DW12+DY12+EA12+EC12+EE12+EG12+EI12+EK12</f>
        <v>0</v>
      </c>
      <c r="EQ12" s="413"/>
      <c r="ER12" s="407">
        <f t="shared" si="23"/>
        <v>0.22877431391691921</v>
      </c>
      <c r="ES12" s="407">
        <f t="shared" si="24"/>
        <v>0.85075442823907887</v>
      </c>
      <c r="ET12" s="408">
        <f t="shared" si="25"/>
        <v>0.85075442823907887</v>
      </c>
      <c r="EU12" s="408">
        <f t="shared" si="26"/>
        <v>0.84600909734367746</v>
      </c>
      <c r="EV12" s="409">
        <f t="shared" ref="EV12:EV13" si="31">IFERROR((AA12+BE12+CI12+DM12)/G12,0)</f>
        <v>0</v>
      </c>
      <c r="EW12" s="772"/>
      <c r="EX12" s="736"/>
      <c r="EY12" s="736"/>
      <c r="EZ12" s="735"/>
      <c r="FA12" s="735"/>
      <c r="FB12" s="770"/>
      <c r="FC12" s="82"/>
      <c r="FD12" s="82"/>
    </row>
    <row r="13" spans="1:160" ht="30" customHeight="1" x14ac:dyDescent="0.25">
      <c r="A13" s="694"/>
      <c r="B13" s="694"/>
      <c r="C13" s="694"/>
      <c r="D13" s="694"/>
      <c r="E13" s="694"/>
      <c r="F13" s="84" t="s">
        <v>351</v>
      </c>
      <c r="G13" s="374"/>
      <c r="H13" s="415"/>
      <c r="I13" s="416"/>
      <c r="J13" s="416"/>
      <c r="K13" s="416"/>
      <c r="L13" s="416"/>
      <c r="M13" s="416"/>
      <c r="N13" s="416"/>
      <c r="O13" s="416"/>
      <c r="P13" s="416"/>
      <c r="Q13" s="416"/>
      <c r="R13" s="402"/>
      <c r="S13" s="416"/>
      <c r="T13" s="416"/>
      <c r="U13" s="416"/>
      <c r="V13" s="417"/>
      <c r="W13" s="406">
        <f t="shared" si="1"/>
        <v>0</v>
      </c>
      <c r="X13" s="406">
        <f t="shared" si="2"/>
        <v>0</v>
      </c>
      <c r="Y13" s="406">
        <f t="shared" si="3"/>
        <v>0</v>
      </c>
      <c r="Z13" s="406">
        <f t="shared" ref="Z13:AA13" si="32">+U13</f>
        <v>0</v>
      </c>
      <c r="AA13" s="406">
        <f t="shared" si="32"/>
        <v>0</v>
      </c>
      <c r="AB13" s="374"/>
      <c r="AC13" s="374"/>
      <c r="AD13" s="374"/>
      <c r="AE13" s="374"/>
      <c r="AF13" s="374"/>
      <c r="AG13" s="374"/>
      <c r="AH13" s="374"/>
      <c r="AI13" s="374"/>
      <c r="AJ13" s="374"/>
      <c r="AK13" s="416"/>
      <c r="AL13" s="416"/>
      <c r="AM13" s="416"/>
      <c r="AN13" s="416"/>
      <c r="AO13" s="416"/>
      <c r="AP13" s="416"/>
      <c r="AQ13" s="416"/>
      <c r="AR13" s="416"/>
      <c r="AS13" s="416"/>
      <c r="AT13" s="416"/>
      <c r="AU13" s="416"/>
      <c r="AV13" s="416"/>
      <c r="AW13" s="416"/>
      <c r="AX13" s="416"/>
      <c r="AY13" s="417"/>
      <c r="AZ13" s="416"/>
      <c r="BA13" s="406">
        <f t="shared" si="5"/>
        <v>0</v>
      </c>
      <c r="BB13" s="406">
        <f t="shared" si="6"/>
        <v>0</v>
      </c>
      <c r="BC13" s="406">
        <f t="shared" si="7"/>
        <v>0</v>
      </c>
      <c r="BD13" s="406">
        <f t="shared" si="8"/>
        <v>0</v>
      </c>
      <c r="BE13" s="406">
        <f t="shared" si="9"/>
        <v>0</v>
      </c>
      <c r="BF13" s="417">
        <v>0</v>
      </c>
      <c r="BG13" s="416">
        <v>0</v>
      </c>
      <c r="BH13" s="417">
        <v>0</v>
      </c>
      <c r="BI13" s="416"/>
      <c r="BJ13" s="417"/>
      <c r="BK13" s="416"/>
      <c r="BL13" s="417"/>
      <c r="BM13" s="416"/>
      <c r="BN13" s="417"/>
      <c r="BO13" s="416"/>
      <c r="BP13" s="417"/>
      <c r="BQ13" s="416"/>
      <c r="BR13" s="417"/>
      <c r="BS13" s="416"/>
      <c r="BT13" s="417"/>
      <c r="BU13" s="416"/>
      <c r="BV13" s="417"/>
      <c r="BW13" s="416"/>
      <c r="BX13" s="417"/>
      <c r="BY13" s="416"/>
      <c r="BZ13" s="417"/>
      <c r="CA13" s="416"/>
      <c r="CB13" s="417"/>
      <c r="CC13" s="418"/>
      <c r="CD13" s="417"/>
      <c r="CE13" s="406">
        <f t="shared" ref="CE13:CE15" si="33">CC13+CA13+BY13+BW13+BS13+BQ13+BO13+BM13+BK13+BI13+BG13+BU13</f>
        <v>0</v>
      </c>
      <c r="CF13" s="406">
        <f t="shared" si="11"/>
        <v>0</v>
      </c>
      <c r="CG13" s="406">
        <f t="shared" si="12"/>
        <v>0</v>
      </c>
      <c r="CH13" s="406">
        <f t="shared" si="13"/>
        <v>0</v>
      </c>
      <c r="CI13" s="406">
        <f t="shared" si="14"/>
        <v>0</v>
      </c>
      <c r="CJ13" s="416"/>
      <c r="CK13" s="419"/>
      <c r="CL13" s="419"/>
      <c r="CM13" s="416"/>
      <c r="CN13" s="419"/>
      <c r="CO13" s="416"/>
      <c r="CP13" s="416"/>
      <c r="CQ13" s="416"/>
      <c r="CR13" s="416"/>
      <c r="CS13" s="416"/>
      <c r="CT13" s="416"/>
      <c r="CU13" s="416"/>
      <c r="CV13" s="416"/>
      <c r="CW13" s="416"/>
      <c r="CX13" s="416"/>
      <c r="CY13" s="416"/>
      <c r="CZ13" s="416"/>
      <c r="DA13" s="416"/>
      <c r="DB13" s="416"/>
      <c r="DC13" s="416"/>
      <c r="DD13" s="416"/>
      <c r="DE13" s="416"/>
      <c r="DF13" s="416"/>
      <c r="DG13" s="416"/>
      <c r="DH13" s="416"/>
      <c r="DI13" s="406">
        <f t="shared" si="20"/>
        <v>0</v>
      </c>
      <c r="DJ13" s="402">
        <f t="shared" ref="DJ13:DK13" si="34">CK13+CM13+CO13+CQ13+CS13+CU13+CW13+CY13+DA13+DC13+DE13+DG13</f>
        <v>0</v>
      </c>
      <c r="DK13" s="402">
        <f t="shared" si="34"/>
        <v>0</v>
      </c>
      <c r="DL13" s="406">
        <f t="shared" si="16"/>
        <v>0</v>
      </c>
      <c r="DM13" s="405">
        <f t="shared" si="17"/>
        <v>0</v>
      </c>
      <c r="DN13" s="417"/>
      <c r="DO13" s="417"/>
      <c r="DP13" s="417"/>
      <c r="DQ13" s="417"/>
      <c r="DR13" s="417"/>
      <c r="DS13" s="417"/>
      <c r="DT13" s="417"/>
      <c r="DU13" s="417"/>
      <c r="DV13" s="417"/>
      <c r="DW13" s="417"/>
      <c r="DX13" s="417"/>
      <c r="DY13" s="417"/>
      <c r="DZ13" s="417"/>
      <c r="EA13" s="417"/>
      <c r="EB13" s="417"/>
      <c r="EC13" s="417"/>
      <c r="ED13" s="417"/>
      <c r="EE13" s="417"/>
      <c r="EF13" s="417"/>
      <c r="EG13" s="416"/>
      <c r="EH13" s="417"/>
      <c r="EI13" s="416"/>
      <c r="EJ13" s="417"/>
      <c r="EK13" s="416"/>
      <c r="EL13" s="417"/>
      <c r="EM13" s="417"/>
      <c r="EN13" s="406">
        <f t="shared" ref="EN13:EO13" si="35">DO13+DQ13+DS13+DU13</f>
        <v>0</v>
      </c>
      <c r="EO13" s="406">
        <f t="shared" si="35"/>
        <v>0</v>
      </c>
      <c r="EP13" s="406">
        <f t="shared" si="30"/>
        <v>0</v>
      </c>
      <c r="EQ13" s="417"/>
      <c r="ER13" s="407">
        <f>IFERROR(DH13/DG13,0)</f>
        <v>0</v>
      </c>
      <c r="ES13" s="407">
        <f>IFERROR(DK13/DJ13,0)</f>
        <v>0</v>
      </c>
      <c r="ET13" s="408">
        <f>IFERROR(DM13/DL13,0)</f>
        <v>0</v>
      </c>
      <c r="EU13" s="408">
        <f>IFERROR((AA13+BE13+CI13+DK13)/(Z13+BD13+CH13+DJ13),0)</f>
        <v>0</v>
      </c>
      <c r="EV13" s="409">
        <f t="shared" si="31"/>
        <v>0</v>
      </c>
      <c r="EW13" s="772"/>
      <c r="EX13" s="736"/>
      <c r="EY13" s="736"/>
      <c r="EZ13" s="735"/>
      <c r="FA13" s="735"/>
      <c r="FB13" s="770"/>
      <c r="FC13" s="80"/>
      <c r="FD13" s="80"/>
    </row>
    <row r="14" spans="1:160" ht="20.25" customHeight="1" x14ac:dyDescent="0.25">
      <c r="A14" s="694"/>
      <c r="B14" s="694"/>
      <c r="C14" s="694"/>
      <c r="D14" s="694"/>
      <c r="E14" s="694"/>
      <c r="F14" s="85" t="s">
        <v>352</v>
      </c>
      <c r="G14" s="410">
        <f>AA14+BE14+CI14+DL14+DN14</f>
        <v>418553614</v>
      </c>
      <c r="H14" s="414"/>
      <c r="I14" s="411"/>
      <c r="J14" s="411"/>
      <c r="K14" s="411"/>
      <c r="L14" s="411"/>
      <c r="M14" s="411"/>
      <c r="N14" s="411"/>
      <c r="O14" s="411"/>
      <c r="P14" s="411"/>
      <c r="Q14" s="411"/>
      <c r="R14" s="420"/>
      <c r="S14" s="411"/>
      <c r="T14" s="411"/>
      <c r="U14" s="411"/>
      <c r="V14" s="411"/>
      <c r="W14" s="406">
        <f t="shared" si="1"/>
        <v>0</v>
      </c>
      <c r="X14" s="406">
        <f t="shared" si="2"/>
        <v>0</v>
      </c>
      <c r="Y14" s="406">
        <f t="shared" si="3"/>
        <v>0</v>
      </c>
      <c r="Z14" s="410">
        <f t="shared" ref="Z14:AA14" si="36">+U14</f>
        <v>0</v>
      </c>
      <c r="AA14" s="410">
        <f t="shared" si="36"/>
        <v>0</v>
      </c>
      <c r="AB14" s="410">
        <v>108646338</v>
      </c>
      <c r="AC14" s="410">
        <v>6777000</v>
      </c>
      <c r="AD14" s="410">
        <v>6777000</v>
      </c>
      <c r="AE14" s="410">
        <f>72661243-AD14</f>
        <v>65884243</v>
      </c>
      <c r="AF14" s="410">
        <v>65884243</v>
      </c>
      <c r="AG14" s="410">
        <f>108646338-AF14-AD14</f>
        <v>35985095</v>
      </c>
      <c r="AH14" s="410">
        <v>35985095</v>
      </c>
      <c r="AI14" s="410">
        <v>0</v>
      </c>
      <c r="AJ14" s="410">
        <v>0</v>
      </c>
      <c r="AK14" s="410">
        <v>0</v>
      </c>
      <c r="AL14" s="410">
        <v>0</v>
      </c>
      <c r="AM14" s="410">
        <v>0</v>
      </c>
      <c r="AN14" s="410">
        <v>0</v>
      </c>
      <c r="AO14" s="410">
        <v>0</v>
      </c>
      <c r="AP14" s="410">
        <v>0</v>
      </c>
      <c r="AQ14" s="410"/>
      <c r="AR14" s="410"/>
      <c r="AS14" s="410"/>
      <c r="AT14" s="410">
        <v>0</v>
      </c>
      <c r="AU14" s="410"/>
      <c r="AV14" s="410">
        <v>0</v>
      </c>
      <c r="AW14" s="410"/>
      <c r="AX14" s="410">
        <v>0</v>
      </c>
      <c r="AY14" s="410"/>
      <c r="AZ14" s="410">
        <v>0</v>
      </c>
      <c r="BA14" s="410">
        <f t="shared" si="5"/>
        <v>108646338</v>
      </c>
      <c r="BB14" s="410">
        <f t="shared" si="6"/>
        <v>108646338</v>
      </c>
      <c r="BC14" s="410">
        <f t="shared" si="7"/>
        <v>108646338</v>
      </c>
      <c r="BD14" s="410">
        <f t="shared" si="8"/>
        <v>108646338</v>
      </c>
      <c r="BE14" s="410">
        <f t="shared" si="9"/>
        <v>108646338</v>
      </c>
      <c r="BF14" s="410">
        <v>63892733</v>
      </c>
      <c r="BG14" s="410">
        <v>38157867</v>
      </c>
      <c r="BH14" s="410">
        <v>38157867</v>
      </c>
      <c r="BI14" s="410">
        <v>25734866</v>
      </c>
      <c r="BJ14" s="410">
        <v>5734866</v>
      </c>
      <c r="BK14" s="410">
        <v>0</v>
      </c>
      <c r="BL14" s="410">
        <v>11447384</v>
      </c>
      <c r="BM14" s="410">
        <v>0</v>
      </c>
      <c r="BN14" s="410">
        <v>0</v>
      </c>
      <c r="BO14" s="410">
        <v>0</v>
      </c>
      <c r="BP14" s="410">
        <v>8552616</v>
      </c>
      <c r="BQ14" s="410">
        <v>0</v>
      </c>
      <c r="BR14" s="410">
        <v>0</v>
      </c>
      <c r="BS14" s="410">
        <v>0</v>
      </c>
      <c r="BT14" s="410">
        <v>0</v>
      </c>
      <c r="BU14" s="410"/>
      <c r="BV14" s="410">
        <v>0</v>
      </c>
      <c r="BW14" s="410"/>
      <c r="BX14" s="410"/>
      <c r="BY14" s="410">
        <v>0</v>
      </c>
      <c r="BZ14" s="410">
        <v>0</v>
      </c>
      <c r="CA14" s="410"/>
      <c r="CB14" s="410">
        <v>0</v>
      </c>
      <c r="CC14" s="410"/>
      <c r="CD14" s="410"/>
      <c r="CE14" s="410">
        <f t="shared" si="33"/>
        <v>63892733</v>
      </c>
      <c r="CF14" s="410">
        <f t="shared" si="11"/>
        <v>63892733</v>
      </c>
      <c r="CG14" s="410">
        <f t="shared" si="12"/>
        <v>63892733</v>
      </c>
      <c r="CH14" s="410">
        <f t="shared" si="13"/>
        <v>63892733</v>
      </c>
      <c r="CI14" s="410">
        <f t="shared" si="14"/>
        <v>63892733</v>
      </c>
      <c r="CJ14" s="410">
        <v>246070108</v>
      </c>
      <c r="CK14" s="410">
        <v>53090449</v>
      </c>
      <c r="CL14" s="410">
        <v>53090449</v>
      </c>
      <c r="CM14" s="410">
        <v>32146223</v>
      </c>
      <c r="CN14" s="410">
        <v>32146223</v>
      </c>
      <c r="CO14" s="410">
        <v>25775341</v>
      </c>
      <c r="CP14" s="410">
        <v>25775341</v>
      </c>
      <c r="CQ14" s="410">
        <v>80000000</v>
      </c>
      <c r="CR14" s="410">
        <v>37237086</v>
      </c>
      <c r="CS14" s="410">
        <v>30116190</v>
      </c>
      <c r="CT14" s="410">
        <v>40396340</v>
      </c>
      <c r="CU14" s="410">
        <f>24941905-51709</f>
        <v>24890196</v>
      </c>
      <c r="CV14" s="410">
        <v>57331732</v>
      </c>
      <c r="CW14" s="410"/>
      <c r="CX14" s="410"/>
      <c r="CY14" s="410"/>
      <c r="CZ14" s="410"/>
      <c r="DA14" s="410"/>
      <c r="DB14" s="410"/>
      <c r="DC14" s="410"/>
      <c r="DD14" s="410">
        <v>37372</v>
      </c>
      <c r="DE14" s="410"/>
      <c r="DF14" s="410"/>
      <c r="DG14" s="410">
        <v>-3856</v>
      </c>
      <c r="DH14" s="410">
        <v>0</v>
      </c>
      <c r="DI14" s="410">
        <f t="shared" si="20"/>
        <v>246014543</v>
      </c>
      <c r="DJ14" s="410">
        <f t="shared" ref="DJ14:DK14" si="37">CK14+CM14+CO14+CQ14+CS14+CU14+CW14+CY14+DA14+DC14+DE14+DG14</f>
        <v>246014543</v>
      </c>
      <c r="DK14" s="410">
        <f t="shared" si="37"/>
        <v>246014543</v>
      </c>
      <c r="DL14" s="410">
        <f t="shared" si="16"/>
        <v>246014543</v>
      </c>
      <c r="DM14" s="410">
        <f t="shared" si="17"/>
        <v>246014543</v>
      </c>
      <c r="DN14" s="410"/>
      <c r="DO14" s="411"/>
      <c r="DP14" s="411"/>
      <c r="DQ14" s="411"/>
      <c r="DR14" s="411"/>
      <c r="DS14" s="411"/>
      <c r="DT14" s="411"/>
      <c r="DU14" s="411"/>
      <c r="DV14" s="411"/>
      <c r="DW14" s="411"/>
      <c r="DX14" s="411"/>
      <c r="DY14" s="411"/>
      <c r="DZ14" s="411"/>
      <c r="EA14" s="411"/>
      <c r="EB14" s="411"/>
      <c r="EC14" s="411"/>
      <c r="ED14" s="411"/>
      <c r="EE14" s="411"/>
      <c r="EF14" s="411"/>
      <c r="EG14" s="411"/>
      <c r="EH14" s="411"/>
      <c r="EI14" s="411"/>
      <c r="EJ14" s="411"/>
      <c r="EK14" s="411"/>
      <c r="EL14" s="411"/>
      <c r="EM14" s="402">
        <f>EI14+EG14+EE14+EC14+EA14+DY14+DW14+DU14+DS14+DQ14+DO14+EK14</f>
        <v>0</v>
      </c>
      <c r="EN14" s="412">
        <f t="shared" ref="EN14:EO14" si="38">DO14+DQ14+DS14+DU14</f>
        <v>0</v>
      </c>
      <c r="EO14" s="413">
        <f t="shared" si="38"/>
        <v>0</v>
      </c>
      <c r="EP14" s="412">
        <f>DQ14+DS14+DU14+DW14+DY14+EA14+EC14+EE14+EG14+EI14+EK14+DO14</f>
        <v>0</v>
      </c>
      <c r="EQ14" s="413"/>
      <c r="ER14" s="407">
        <f t="shared" si="23"/>
        <v>0</v>
      </c>
      <c r="ES14" s="407">
        <f t="shared" ref="ES14:ES19" si="39">DK14/DJ14</f>
        <v>1</v>
      </c>
      <c r="ET14" s="408">
        <f t="shared" ref="ET14:ET19" si="40">DM14/DL14</f>
        <v>1</v>
      </c>
      <c r="EU14" s="408">
        <f t="shared" ref="EU14:EU19" si="41">(AA14+BE14+CI14+DK14)/(Z14+BD14+CH14+DJ14)</f>
        <v>1</v>
      </c>
      <c r="EV14" s="409">
        <f t="shared" ref="EV14:EV18" si="42">(AA14+BE14+CI14+DM14)/G14</f>
        <v>1</v>
      </c>
      <c r="EW14" s="772"/>
      <c r="EX14" s="736"/>
      <c r="EY14" s="736"/>
      <c r="EZ14" s="735"/>
      <c r="FA14" s="735"/>
      <c r="FB14" s="770"/>
      <c r="FC14" s="82"/>
      <c r="FD14" s="82"/>
    </row>
    <row r="15" spans="1:160" ht="30" customHeight="1" thickBot="1" x14ac:dyDescent="0.3">
      <c r="A15" s="694"/>
      <c r="B15" s="694"/>
      <c r="C15" s="694"/>
      <c r="D15" s="694"/>
      <c r="E15" s="694"/>
      <c r="F15" s="84" t="s">
        <v>353</v>
      </c>
      <c r="G15" s="447">
        <f t="shared" ref="G15:G16" si="43">G10+G13</f>
        <v>600</v>
      </c>
      <c r="H15" s="448">
        <v>66</v>
      </c>
      <c r="I15" s="447"/>
      <c r="J15" s="447"/>
      <c r="K15" s="447">
        <v>66</v>
      </c>
      <c r="L15" s="449">
        <v>11</v>
      </c>
      <c r="M15" s="447">
        <v>66</v>
      </c>
      <c r="N15" s="449">
        <v>22</v>
      </c>
      <c r="O15" s="447">
        <v>66</v>
      </c>
      <c r="P15" s="449">
        <v>33</v>
      </c>
      <c r="Q15" s="447">
        <v>66</v>
      </c>
      <c r="R15" s="449">
        <v>44</v>
      </c>
      <c r="S15" s="447">
        <v>66</v>
      </c>
      <c r="T15" s="447">
        <v>55</v>
      </c>
      <c r="U15" s="447">
        <v>66</v>
      </c>
      <c r="V15" s="449">
        <v>66</v>
      </c>
      <c r="W15" s="450">
        <f t="shared" si="1"/>
        <v>66</v>
      </c>
      <c r="X15" s="450">
        <f t="shared" si="2"/>
        <v>66</v>
      </c>
      <c r="Y15" s="450">
        <f t="shared" si="3"/>
        <v>66</v>
      </c>
      <c r="Z15" s="450">
        <f t="shared" ref="Z15:AA15" si="44">+U15</f>
        <v>66</v>
      </c>
      <c r="AA15" s="450">
        <f t="shared" si="44"/>
        <v>66</v>
      </c>
      <c r="AB15" s="447">
        <v>109</v>
      </c>
      <c r="AC15" s="447">
        <v>5</v>
      </c>
      <c r="AD15" s="447">
        <v>5</v>
      </c>
      <c r="AE15" s="447">
        <v>8</v>
      </c>
      <c r="AF15" s="447">
        <v>8</v>
      </c>
      <c r="AG15" s="447">
        <v>10</v>
      </c>
      <c r="AH15" s="447">
        <v>10</v>
      </c>
      <c r="AI15" s="447">
        <v>10</v>
      </c>
      <c r="AJ15" s="447">
        <v>10</v>
      </c>
      <c r="AK15" s="449">
        <v>10</v>
      </c>
      <c r="AL15" s="449">
        <v>10</v>
      </c>
      <c r="AM15" s="449">
        <v>10</v>
      </c>
      <c r="AN15" s="449">
        <f>+AN10</f>
        <v>10</v>
      </c>
      <c r="AO15" s="449">
        <v>10</v>
      </c>
      <c r="AP15" s="449">
        <v>10</v>
      </c>
      <c r="AQ15" s="449">
        <v>10</v>
      </c>
      <c r="AR15" s="449">
        <v>10</v>
      </c>
      <c r="AS15" s="449">
        <v>10</v>
      </c>
      <c r="AT15" s="449">
        <v>10</v>
      </c>
      <c r="AU15" s="449">
        <v>10</v>
      </c>
      <c r="AV15" s="449">
        <v>10</v>
      </c>
      <c r="AW15" s="449">
        <v>10</v>
      </c>
      <c r="AX15" s="449">
        <v>10</v>
      </c>
      <c r="AY15" s="447">
        <v>6</v>
      </c>
      <c r="AZ15" s="449">
        <v>10</v>
      </c>
      <c r="BA15" s="450">
        <f t="shared" si="5"/>
        <v>109</v>
      </c>
      <c r="BB15" s="450">
        <f t="shared" si="6"/>
        <v>109</v>
      </c>
      <c r="BC15" s="450">
        <f t="shared" si="7"/>
        <v>113</v>
      </c>
      <c r="BD15" s="450">
        <f t="shared" si="8"/>
        <v>109</v>
      </c>
      <c r="BE15" s="450">
        <f t="shared" si="9"/>
        <v>113</v>
      </c>
      <c r="BF15" s="447">
        <v>150</v>
      </c>
      <c r="BG15" s="449">
        <f t="shared" ref="BG15:CD15" si="45">+BG10</f>
        <v>0</v>
      </c>
      <c r="BH15" s="449">
        <f t="shared" si="45"/>
        <v>0</v>
      </c>
      <c r="BI15" s="449">
        <f t="shared" si="45"/>
        <v>14</v>
      </c>
      <c r="BJ15" s="449">
        <f t="shared" si="45"/>
        <v>14</v>
      </c>
      <c r="BK15" s="449">
        <f t="shared" si="45"/>
        <v>14</v>
      </c>
      <c r="BL15" s="449">
        <f t="shared" si="45"/>
        <v>14</v>
      </c>
      <c r="BM15" s="449">
        <f t="shared" si="45"/>
        <v>14</v>
      </c>
      <c r="BN15" s="449">
        <f t="shared" si="45"/>
        <v>14</v>
      </c>
      <c r="BO15" s="449">
        <f t="shared" si="45"/>
        <v>14</v>
      </c>
      <c r="BP15" s="449">
        <f t="shared" si="45"/>
        <v>14</v>
      </c>
      <c r="BQ15" s="449">
        <f t="shared" si="45"/>
        <v>14</v>
      </c>
      <c r="BR15" s="449">
        <f t="shared" si="45"/>
        <v>14</v>
      </c>
      <c r="BS15" s="449">
        <f t="shared" si="45"/>
        <v>14</v>
      </c>
      <c r="BT15" s="449">
        <f t="shared" si="45"/>
        <v>14</v>
      </c>
      <c r="BU15" s="449">
        <f t="shared" si="45"/>
        <v>14</v>
      </c>
      <c r="BV15" s="449">
        <f t="shared" si="45"/>
        <v>14</v>
      </c>
      <c r="BW15" s="449">
        <f t="shared" si="45"/>
        <v>14</v>
      </c>
      <c r="BX15" s="449">
        <f t="shared" si="45"/>
        <v>14</v>
      </c>
      <c r="BY15" s="449">
        <f t="shared" si="45"/>
        <v>14</v>
      </c>
      <c r="BZ15" s="449">
        <f t="shared" si="45"/>
        <v>14</v>
      </c>
      <c r="CA15" s="449">
        <f t="shared" si="45"/>
        <v>14</v>
      </c>
      <c r="CB15" s="449">
        <f t="shared" si="45"/>
        <v>14</v>
      </c>
      <c r="CC15" s="449">
        <f t="shared" si="45"/>
        <v>10</v>
      </c>
      <c r="CD15" s="449">
        <f t="shared" si="45"/>
        <v>10</v>
      </c>
      <c r="CE15" s="450">
        <f t="shared" si="33"/>
        <v>150</v>
      </c>
      <c r="CF15" s="450">
        <f t="shared" si="11"/>
        <v>150</v>
      </c>
      <c r="CG15" s="450">
        <f t="shared" si="12"/>
        <v>150</v>
      </c>
      <c r="CH15" s="450">
        <f t="shared" si="13"/>
        <v>150</v>
      </c>
      <c r="CI15" s="450">
        <f t="shared" si="14"/>
        <v>150</v>
      </c>
      <c r="CJ15" s="447">
        <v>190</v>
      </c>
      <c r="CK15" s="449">
        <f t="shared" ref="CK15:DH15" si="46">+CK10</f>
        <v>5</v>
      </c>
      <c r="CL15" s="449">
        <f t="shared" si="46"/>
        <v>5</v>
      </c>
      <c r="CM15" s="449">
        <f t="shared" si="46"/>
        <v>17</v>
      </c>
      <c r="CN15" s="449">
        <f t="shared" si="46"/>
        <v>17</v>
      </c>
      <c r="CO15" s="449">
        <f t="shared" si="46"/>
        <v>18</v>
      </c>
      <c r="CP15" s="449">
        <f t="shared" si="46"/>
        <v>18</v>
      </c>
      <c r="CQ15" s="449">
        <f t="shared" si="46"/>
        <v>17</v>
      </c>
      <c r="CR15" s="449">
        <f t="shared" si="46"/>
        <v>17</v>
      </c>
      <c r="CS15" s="449">
        <f t="shared" si="46"/>
        <v>18</v>
      </c>
      <c r="CT15" s="449">
        <f t="shared" si="46"/>
        <v>18</v>
      </c>
      <c r="CU15" s="449">
        <f t="shared" si="46"/>
        <v>17</v>
      </c>
      <c r="CV15" s="449">
        <f t="shared" si="46"/>
        <v>18</v>
      </c>
      <c r="CW15" s="449">
        <f t="shared" si="46"/>
        <v>18</v>
      </c>
      <c r="CX15" s="449">
        <f t="shared" si="46"/>
        <v>18</v>
      </c>
      <c r="CY15" s="449">
        <f t="shared" si="46"/>
        <v>17</v>
      </c>
      <c r="CZ15" s="449">
        <f t="shared" si="46"/>
        <v>18</v>
      </c>
      <c r="DA15" s="449">
        <f t="shared" si="46"/>
        <v>18</v>
      </c>
      <c r="DB15" s="449">
        <f t="shared" si="46"/>
        <v>18</v>
      </c>
      <c r="DC15" s="449">
        <f t="shared" si="46"/>
        <v>17</v>
      </c>
      <c r="DD15" s="449">
        <f t="shared" si="46"/>
        <v>18</v>
      </c>
      <c r="DE15" s="449">
        <f t="shared" si="46"/>
        <v>18</v>
      </c>
      <c r="DF15" s="449">
        <f t="shared" si="46"/>
        <v>10</v>
      </c>
      <c r="DG15" s="449">
        <f t="shared" si="46"/>
        <v>10</v>
      </c>
      <c r="DH15" s="449">
        <f t="shared" si="46"/>
        <v>10</v>
      </c>
      <c r="DI15" s="450">
        <f t="shared" si="20"/>
        <v>190</v>
      </c>
      <c r="DJ15" s="447">
        <f t="shared" ref="DJ15:DK15" si="47">CK15+CM15+CO15+CQ15+CS15+CU15+CW15+CY15+DA15+DC15+DE15+DG15</f>
        <v>190</v>
      </c>
      <c r="DK15" s="447">
        <f t="shared" si="47"/>
        <v>185</v>
      </c>
      <c r="DL15" s="450">
        <f t="shared" si="16"/>
        <v>190</v>
      </c>
      <c r="DM15" s="449">
        <f t="shared" si="17"/>
        <v>185</v>
      </c>
      <c r="DN15" s="447">
        <v>81</v>
      </c>
      <c r="DO15" s="447"/>
      <c r="DP15" s="447"/>
      <c r="DQ15" s="447"/>
      <c r="DR15" s="447"/>
      <c r="DS15" s="447"/>
      <c r="DT15" s="447"/>
      <c r="DU15" s="447"/>
      <c r="DV15" s="447"/>
      <c r="DW15" s="447"/>
      <c r="DX15" s="447"/>
      <c r="DY15" s="447"/>
      <c r="DZ15" s="447"/>
      <c r="EA15" s="447"/>
      <c r="EB15" s="447"/>
      <c r="EC15" s="447"/>
      <c r="ED15" s="447"/>
      <c r="EE15" s="447"/>
      <c r="EF15" s="447"/>
      <c r="EG15" s="447"/>
      <c r="EH15" s="447"/>
      <c r="EI15" s="447"/>
      <c r="EJ15" s="447"/>
      <c r="EK15" s="447"/>
      <c r="EL15" s="447"/>
      <c r="EM15" s="449">
        <f t="shared" ref="EM15:EP15" si="48">EM10+EM13</f>
        <v>0</v>
      </c>
      <c r="EN15" s="450">
        <f t="shared" si="48"/>
        <v>0</v>
      </c>
      <c r="EO15" s="450">
        <f t="shared" si="48"/>
        <v>0</v>
      </c>
      <c r="EP15" s="447">
        <f t="shared" si="48"/>
        <v>18</v>
      </c>
      <c r="EQ15" s="449"/>
      <c r="ER15" s="451">
        <f t="shared" si="23"/>
        <v>1</v>
      </c>
      <c r="ES15" s="451">
        <f t="shared" si="39"/>
        <v>0.97368421052631582</v>
      </c>
      <c r="ET15" s="452">
        <f t="shared" si="40"/>
        <v>0.97368421052631582</v>
      </c>
      <c r="EU15" s="452">
        <f t="shared" si="41"/>
        <v>0.99805825242718449</v>
      </c>
      <c r="EV15" s="421">
        <f t="shared" si="42"/>
        <v>0.85666666666666669</v>
      </c>
      <c r="EW15" s="772"/>
      <c r="EX15" s="736"/>
      <c r="EY15" s="736"/>
      <c r="EZ15" s="735"/>
      <c r="FA15" s="735"/>
      <c r="FB15" s="770"/>
      <c r="FC15" s="80"/>
      <c r="FD15" s="80"/>
    </row>
    <row r="16" spans="1:160" ht="30" customHeight="1" thickBot="1" x14ac:dyDescent="0.3">
      <c r="A16" s="694"/>
      <c r="B16" s="733"/>
      <c r="C16" s="733"/>
      <c r="D16" s="733"/>
      <c r="E16" s="733"/>
      <c r="F16" s="86" t="s">
        <v>354</v>
      </c>
      <c r="G16" s="459">
        <f t="shared" si="43"/>
        <v>3973367979</v>
      </c>
      <c r="H16" s="460">
        <f t="shared" ref="H16:DM16" si="49">H11+H14</f>
        <v>370304000</v>
      </c>
      <c r="I16" s="460">
        <f t="shared" si="49"/>
        <v>0</v>
      </c>
      <c r="J16" s="460">
        <f t="shared" si="49"/>
        <v>0</v>
      </c>
      <c r="K16" s="460">
        <f t="shared" si="49"/>
        <v>370304000</v>
      </c>
      <c r="L16" s="460">
        <f t="shared" si="49"/>
        <v>140580000</v>
      </c>
      <c r="M16" s="460">
        <f t="shared" si="49"/>
        <v>361860000</v>
      </c>
      <c r="N16" s="460">
        <f t="shared" si="49"/>
        <v>262457000</v>
      </c>
      <c r="O16" s="460">
        <f t="shared" si="49"/>
        <v>361860000</v>
      </c>
      <c r="P16" s="460">
        <f t="shared" si="49"/>
        <v>262457000</v>
      </c>
      <c r="Q16" s="460">
        <f t="shared" si="49"/>
        <v>384597000</v>
      </c>
      <c r="R16" s="460">
        <f t="shared" si="49"/>
        <v>262457000</v>
      </c>
      <c r="S16" s="460">
        <f t="shared" si="49"/>
        <v>384597000</v>
      </c>
      <c r="T16" s="460">
        <f t="shared" si="49"/>
        <v>312457000</v>
      </c>
      <c r="U16" s="460">
        <f t="shared" si="49"/>
        <v>384597000</v>
      </c>
      <c r="V16" s="460">
        <f t="shared" si="49"/>
        <v>384597000</v>
      </c>
      <c r="W16" s="460">
        <f t="shared" si="49"/>
        <v>370304000</v>
      </c>
      <c r="X16" s="460">
        <f t="shared" si="49"/>
        <v>370304000</v>
      </c>
      <c r="Y16" s="460">
        <f t="shared" si="49"/>
        <v>384597000</v>
      </c>
      <c r="Z16" s="460">
        <f t="shared" si="49"/>
        <v>384597000</v>
      </c>
      <c r="AA16" s="460">
        <f t="shared" si="49"/>
        <v>384597000</v>
      </c>
      <c r="AB16" s="460">
        <f t="shared" si="49"/>
        <v>683300338</v>
      </c>
      <c r="AC16" s="460">
        <f t="shared" si="49"/>
        <v>6777000</v>
      </c>
      <c r="AD16" s="460">
        <f t="shared" si="49"/>
        <v>6777000</v>
      </c>
      <c r="AE16" s="460">
        <f t="shared" si="49"/>
        <v>374324243</v>
      </c>
      <c r="AF16" s="460">
        <f t="shared" si="49"/>
        <v>374324243</v>
      </c>
      <c r="AG16" s="460">
        <f t="shared" si="49"/>
        <v>223394095</v>
      </c>
      <c r="AH16" s="460">
        <f t="shared" si="49"/>
        <v>223394095</v>
      </c>
      <c r="AI16" s="460">
        <f t="shared" si="49"/>
        <v>0</v>
      </c>
      <c r="AJ16" s="460">
        <f t="shared" si="49"/>
        <v>0</v>
      </c>
      <c r="AK16" s="460">
        <f t="shared" si="49"/>
        <v>0</v>
      </c>
      <c r="AL16" s="460">
        <f t="shared" si="49"/>
        <v>0</v>
      </c>
      <c r="AM16" s="460">
        <f t="shared" si="49"/>
        <v>8622572</v>
      </c>
      <c r="AN16" s="460">
        <f t="shared" si="49"/>
        <v>60358000</v>
      </c>
      <c r="AO16" s="460">
        <f t="shared" si="49"/>
        <v>8622572</v>
      </c>
      <c r="AP16" s="460">
        <f t="shared" si="49"/>
        <v>0</v>
      </c>
      <c r="AQ16" s="460">
        <f t="shared" si="49"/>
        <v>0</v>
      </c>
      <c r="AR16" s="460">
        <f t="shared" si="49"/>
        <v>0</v>
      </c>
      <c r="AS16" s="460">
        <f t="shared" si="49"/>
        <v>76578856</v>
      </c>
      <c r="AT16" s="460">
        <f t="shared" si="49"/>
        <v>16491500</v>
      </c>
      <c r="AU16" s="460">
        <f t="shared" si="49"/>
        <v>15666000</v>
      </c>
      <c r="AV16" s="460">
        <f t="shared" si="49"/>
        <v>0</v>
      </c>
      <c r="AW16" s="460">
        <f t="shared" si="49"/>
        <v>0</v>
      </c>
      <c r="AX16" s="460">
        <f t="shared" si="49"/>
        <v>11263000</v>
      </c>
      <c r="AY16" s="460">
        <f t="shared" si="49"/>
        <v>0</v>
      </c>
      <c r="AZ16" s="460">
        <f t="shared" si="49"/>
        <v>6961000</v>
      </c>
      <c r="BA16" s="460">
        <f t="shared" si="49"/>
        <v>713985338</v>
      </c>
      <c r="BB16" s="460">
        <f t="shared" si="49"/>
        <v>713985338</v>
      </c>
      <c r="BC16" s="460">
        <f t="shared" si="49"/>
        <v>699568838</v>
      </c>
      <c r="BD16" s="460">
        <f t="shared" si="49"/>
        <v>713985338</v>
      </c>
      <c r="BE16" s="460">
        <f t="shared" si="49"/>
        <v>699568838</v>
      </c>
      <c r="BF16" s="460">
        <f t="shared" si="49"/>
        <v>1035169733</v>
      </c>
      <c r="BG16" s="460">
        <f t="shared" si="49"/>
        <v>1005045333</v>
      </c>
      <c r="BH16" s="460">
        <f t="shared" si="49"/>
        <v>1005045333</v>
      </c>
      <c r="BI16" s="460">
        <f t="shared" si="49"/>
        <v>25734866</v>
      </c>
      <c r="BJ16" s="460">
        <f t="shared" si="49"/>
        <v>5734866</v>
      </c>
      <c r="BK16" s="460">
        <f t="shared" si="49"/>
        <v>3554334</v>
      </c>
      <c r="BL16" s="460">
        <f t="shared" si="49"/>
        <v>11447384</v>
      </c>
      <c r="BM16" s="460">
        <f t="shared" si="49"/>
        <v>0</v>
      </c>
      <c r="BN16" s="460">
        <f t="shared" si="49"/>
        <v>0</v>
      </c>
      <c r="BO16" s="460">
        <f t="shared" si="49"/>
        <v>0</v>
      </c>
      <c r="BP16" s="460">
        <f t="shared" si="49"/>
        <v>8552616</v>
      </c>
      <c r="BQ16" s="460">
        <f t="shared" si="49"/>
        <v>0</v>
      </c>
      <c r="BR16" s="460">
        <f t="shared" si="49"/>
        <v>3500000</v>
      </c>
      <c r="BS16" s="460">
        <f t="shared" si="49"/>
        <v>417600</v>
      </c>
      <c r="BT16" s="460">
        <f t="shared" si="49"/>
        <v>0</v>
      </c>
      <c r="BU16" s="460">
        <f t="shared" si="49"/>
        <v>0</v>
      </c>
      <c r="BV16" s="460">
        <f t="shared" si="49"/>
        <v>0</v>
      </c>
      <c r="BW16" s="460">
        <f t="shared" si="49"/>
        <v>22976000</v>
      </c>
      <c r="BX16" s="460">
        <f t="shared" si="49"/>
        <v>23393600</v>
      </c>
      <c r="BY16" s="460">
        <f t="shared" si="49"/>
        <v>23257000</v>
      </c>
      <c r="BZ16" s="460">
        <f t="shared" si="49"/>
        <v>0</v>
      </c>
      <c r="CA16" s="460">
        <f t="shared" si="49"/>
        <v>21744668</v>
      </c>
      <c r="CB16" s="460">
        <f t="shared" si="49"/>
        <v>33335333</v>
      </c>
      <c r="CC16" s="460">
        <f t="shared" si="49"/>
        <v>0</v>
      </c>
      <c r="CD16" s="460">
        <f t="shared" si="49"/>
        <v>11720667</v>
      </c>
      <c r="CE16" s="460">
        <f t="shared" si="49"/>
        <v>1102729801</v>
      </c>
      <c r="CF16" s="460">
        <f t="shared" si="49"/>
        <v>1102729801</v>
      </c>
      <c r="CG16" s="460">
        <f t="shared" si="49"/>
        <v>1102729799</v>
      </c>
      <c r="CH16" s="460">
        <f t="shared" si="49"/>
        <v>1102729801</v>
      </c>
      <c r="CI16" s="460">
        <f t="shared" si="49"/>
        <v>1102729799</v>
      </c>
      <c r="CJ16" s="460">
        <f t="shared" si="49"/>
        <v>1071627108</v>
      </c>
      <c r="CK16" s="460">
        <f t="shared" si="49"/>
        <v>435262449</v>
      </c>
      <c r="CL16" s="460">
        <f t="shared" si="49"/>
        <v>435262449</v>
      </c>
      <c r="CM16" s="460">
        <f t="shared" si="49"/>
        <v>417769223</v>
      </c>
      <c r="CN16" s="460">
        <f t="shared" si="49"/>
        <v>417769223</v>
      </c>
      <c r="CO16" s="460">
        <f t="shared" si="49"/>
        <v>25775341</v>
      </c>
      <c r="CP16" s="460">
        <f t="shared" si="49"/>
        <v>25775341</v>
      </c>
      <c r="CQ16" s="460">
        <f t="shared" si="49"/>
        <v>80000000</v>
      </c>
      <c r="CR16" s="460">
        <f t="shared" si="49"/>
        <v>37237086</v>
      </c>
      <c r="CS16" s="460">
        <f t="shared" si="49"/>
        <v>58576190</v>
      </c>
      <c r="CT16" s="460">
        <f t="shared" si="49"/>
        <v>40396340</v>
      </c>
      <c r="CU16" s="460">
        <f t="shared" si="49"/>
        <v>24890196</v>
      </c>
      <c r="CV16" s="460">
        <f t="shared" si="49"/>
        <v>73065732</v>
      </c>
      <c r="CW16" s="460">
        <f t="shared" si="49"/>
        <v>38330067</v>
      </c>
      <c r="CX16" s="460">
        <f t="shared" si="49"/>
        <v>0</v>
      </c>
      <c r="CY16" s="460">
        <f t="shared" si="49"/>
        <v>0</v>
      </c>
      <c r="CZ16" s="460">
        <f t="shared" si="49"/>
        <v>0</v>
      </c>
      <c r="DA16" s="460">
        <f t="shared" si="49"/>
        <v>-10146501</v>
      </c>
      <c r="DB16" s="460">
        <f t="shared" si="49"/>
        <v>28460000</v>
      </c>
      <c r="DC16" s="460">
        <f t="shared" si="49"/>
        <v>0</v>
      </c>
      <c r="DD16" s="460">
        <f t="shared" si="49"/>
        <v>37372</v>
      </c>
      <c r="DE16" s="460">
        <f t="shared" si="49"/>
        <v>-2059767</v>
      </c>
      <c r="DF16" s="460">
        <f t="shared" si="49"/>
        <v>0</v>
      </c>
      <c r="DG16" s="460">
        <f t="shared" si="49"/>
        <v>28798144</v>
      </c>
      <c r="DH16" s="460">
        <f t="shared" si="49"/>
        <v>37830067</v>
      </c>
      <c r="DI16" s="460">
        <f t="shared" si="49"/>
        <v>1097195342</v>
      </c>
      <c r="DJ16" s="460">
        <f t="shared" si="49"/>
        <v>1097195342</v>
      </c>
      <c r="DK16" s="460">
        <f t="shared" si="49"/>
        <v>1095833610</v>
      </c>
      <c r="DL16" s="460">
        <f t="shared" si="49"/>
        <v>1097195342</v>
      </c>
      <c r="DM16" s="460">
        <f t="shared" si="49"/>
        <v>1095833610</v>
      </c>
      <c r="DN16" s="460">
        <f>DN11</f>
        <v>689277000</v>
      </c>
      <c r="DO16" s="461"/>
      <c r="DP16" s="461"/>
      <c r="DQ16" s="461"/>
      <c r="DR16" s="461"/>
      <c r="DS16" s="461"/>
      <c r="DT16" s="461"/>
      <c r="DU16" s="461"/>
      <c r="DV16" s="461"/>
      <c r="DW16" s="461"/>
      <c r="DX16" s="461"/>
      <c r="DY16" s="461"/>
      <c r="DZ16" s="461"/>
      <c r="EA16" s="461"/>
      <c r="EB16" s="461"/>
      <c r="EC16" s="461"/>
      <c r="ED16" s="461"/>
      <c r="EE16" s="461"/>
      <c r="EF16" s="461"/>
      <c r="EG16" s="461"/>
      <c r="EH16" s="461"/>
      <c r="EI16" s="461"/>
      <c r="EJ16" s="461"/>
      <c r="EK16" s="461"/>
      <c r="EL16" s="461"/>
      <c r="EM16" s="462">
        <f t="shared" ref="EM16:EM18" si="50">EK16+EI16+EG16+EE16+EC16+EA16+DY16+DW16+DU16+DS16+DQ16+DO16</f>
        <v>0</v>
      </c>
      <c r="EN16" s="463">
        <f t="shared" ref="EN16:EP16" si="51">+EN11+EN14</f>
        <v>0</v>
      </c>
      <c r="EO16" s="463">
        <f t="shared" si="51"/>
        <v>0</v>
      </c>
      <c r="EP16" s="463">
        <f t="shared" si="51"/>
        <v>0</v>
      </c>
      <c r="EQ16" s="463"/>
      <c r="ER16" s="464">
        <f t="shared" si="23"/>
        <v>1.3136286491240547</v>
      </c>
      <c r="ES16" s="464">
        <f>DK16/DJ16</f>
        <v>0.99875889739240253</v>
      </c>
      <c r="ET16" s="465">
        <f>DM16/DL16</f>
        <v>0.99875889739240253</v>
      </c>
      <c r="EU16" s="465">
        <f>(AA16+BE16+CI16+DK16)/(Z16+BD16+CH16+DJ16)</f>
        <v>0.99521655351977056</v>
      </c>
      <c r="EV16" s="466">
        <f t="shared" si="42"/>
        <v>0.82618304278633237</v>
      </c>
      <c r="EW16" s="773"/>
      <c r="EX16" s="736"/>
      <c r="EY16" s="736"/>
      <c r="EZ16" s="735"/>
      <c r="FA16" s="735"/>
      <c r="FB16" s="770"/>
      <c r="FC16" s="82"/>
      <c r="FD16" s="82"/>
    </row>
    <row r="17" spans="1:160" ht="24" customHeight="1" x14ac:dyDescent="0.25">
      <c r="A17" s="694"/>
      <c r="B17" s="747">
        <v>2</v>
      </c>
      <c r="C17" s="732" t="s">
        <v>355</v>
      </c>
      <c r="D17" s="748" t="s">
        <v>177</v>
      </c>
      <c r="E17" s="732">
        <v>200</v>
      </c>
      <c r="F17" s="78" t="s">
        <v>345</v>
      </c>
      <c r="G17" s="426">
        <f t="shared" ref="G17:G18" si="52">AA17+BE17+CI17+DL17+DN17</f>
        <v>400</v>
      </c>
      <c r="H17" s="453">
        <v>20</v>
      </c>
      <c r="I17" s="426"/>
      <c r="J17" s="426"/>
      <c r="K17" s="426">
        <v>20</v>
      </c>
      <c r="L17" s="426">
        <v>0</v>
      </c>
      <c r="M17" s="426">
        <v>20</v>
      </c>
      <c r="N17" s="454">
        <v>0</v>
      </c>
      <c r="O17" s="426">
        <v>20</v>
      </c>
      <c r="P17" s="454">
        <v>2</v>
      </c>
      <c r="Q17" s="426">
        <v>20</v>
      </c>
      <c r="R17" s="441">
        <v>6</v>
      </c>
      <c r="S17" s="426">
        <v>20</v>
      </c>
      <c r="T17" s="454">
        <v>12</v>
      </c>
      <c r="U17" s="426">
        <v>20</v>
      </c>
      <c r="V17" s="426">
        <v>20</v>
      </c>
      <c r="W17" s="455">
        <f t="shared" ref="W17:W22" si="53">+H17</f>
        <v>20</v>
      </c>
      <c r="X17" s="455">
        <f t="shared" ref="X17:X22" si="54">+H17</f>
        <v>20</v>
      </c>
      <c r="Y17" s="455">
        <f t="shared" ref="Y17:Y22" si="55">+V17</f>
        <v>20</v>
      </c>
      <c r="Z17" s="455">
        <f t="shared" ref="Z17:AA17" si="56">+U17</f>
        <v>20</v>
      </c>
      <c r="AA17" s="455">
        <f t="shared" si="56"/>
        <v>20</v>
      </c>
      <c r="AB17" s="426">
        <v>77</v>
      </c>
      <c r="AC17" s="426">
        <v>5</v>
      </c>
      <c r="AD17" s="426">
        <v>5</v>
      </c>
      <c r="AE17" s="426">
        <v>6</v>
      </c>
      <c r="AF17" s="426">
        <v>6</v>
      </c>
      <c r="AG17" s="426">
        <v>7</v>
      </c>
      <c r="AH17" s="426">
        <v>7</v>
      </c>
      <c r="AI17" s="454">
        <v>7</v>
      </c>
      <c r="AJ17" s="454">
        <v>7</v>
      </c>
      <c r="AK17" s="454">
        <v>7</v>
      </c>
      <c r="AL17" s="454">
        <v>7</v>
      </c>
      <c r="AM17" s="454">
        <v>7</v>
      </c>
      <c r="AN17" s="454">
        <v>7</v>
      </c>
      <c r="AO17" s="454">
        <v>7</v>
      </c>
      <c r="AP17" s="454">
        <v>7</v>
      </c>
      <c r="AQ17" s="454">
        <v>7</v>
      </c>
      <c r="AR17" s="454">
        <v>7</v>
      </c>
      <c r="AS17" s="454">
        <v>7</v>
      </c>
      <c r="AT17" s="454">
        <v>7</v>
      </c>
      <c r="AU17" s="454">
        <v>6</v>
      </c>
      <c r="AV17" s="454">
        <v>7</v>
      </c>
      <c r="AW17" s="454">
        <v>6</v>
      </c>
      <c r="AX17" s="454">
        <v>5</v>
      </c>
      <c r="AY17" s="426">
        <v>5</v>
      </c>
      <c r="AZ17" s="454">
        <v>6</v>
      </c>
      <c r="BA17" s="455">
        <f t="shared" ref="BA17:BA22" si="57">AY17+AW17+AU17+AS17+AO17+AM17+AK17+AI17+AG17+AE17+AC17+AQ17</f>
        <v>77</v>
      </c>
      <c r="BB17" s="455">
        <f t="shared" ref="BB17:BB22" si="58">AC17+AE17+AG17+AI17+AK17+AM17+AO17+AQ17+AS17+AU17+AW17+AY17</f>
        <v>77</v>
      </c>
      <c r="BC17" s="455">
        <f t="shared" ref="BC17:BC22" si="59">+AN17+AD17+AF17+AH17+AJ17+AL17+AP17+AR17+AT17+AV17+AX17+AZ17</f>
        <v>78</v>
      </c>
      <c r="BD17" s="455">
        <f t="shared" ref="BD17:BD22" si="60">BA17</f>
        <v>77</v>
      </c>
      <c r="BE17" s="455">
        <f t="shared" ref="BE17:BE22" si="61">AF17+AH17+AJ17+AL17+AD17+AN17+AP17+AR17+AT17+AV17+AX17+AZ17</f>
        <v>78</v>
      </c>
      <c r="BF17" s="426">
        <v>100</v>
      </c>
      <c r="BG17" s="426">
        <v>0</v>
      </c>
      <c r="BH17" s="426">
        <v>0</v>
      </c>
      <c r="BI17" s="426">
        <v>10</v>
      </c>
      <c r="BJ17" s="426">
        <v>10</v>
      </c>
      <c r="BK17" s="426">
        <v>9</v>
      </c>
      <c r="BL17" s="426">
        <v>10</v>
      </c>
      <c r="BM17" s="426">
        <v>9</v>
      </c>
      <c r="BN17" s="426">
        <v>10</v>
      </c>
      <c r="BO17" s="426">
        <v>9</v>
      </c>
      <c r="BP17" s="426">
        <v>10</v>
      </c>
      <c r="BQ17" s="426">
        <v>9</v>
      </c>
      <c r="BR17" s="426">
        <v>10</v>
      </c>
      <c r="BS17" s="426">
        <v>9</v>
      </c>
      <c r="BT17" s="426">
        <v>10</v>
      </c>
      <c r="BU17" s="426">
        <v>9</v>
      </c>
      <c r="BV17" s="426">
        <v>10</v>
      </c>
      <c r="BW17" s="426">
        <v>9</v>
      </c>
      <c r="BX17" s="426">
        <v>10</v>
      </c>
      <c r="BY17" s="426">
        <v>9</v>
      </c>
      <c r="BZ17" s="426">
        <v>10</v>
      </c>
      <c r="CA17" s="426">
        <v>9</v>
      </c>
      <c r="CB17" s="426">
        <v>9</v>
      </c>
      <c r="CC17" s="426">
        <v>18</v>
      </c>
      <c r="CD17" s="426">
        <v>10</v>
      </c>
      <c r="CE17" s="455">
        <f t="shared" ref="CE17:CE22" si="62">CC17+CA17+BY17+BW17+BS17+BQ17+BO17+BM17+BK17+BI17+BG17+BU17</f>
        <v>109</v>
      </c>
      <c r="CF17" s="455">
        <f t="shared" ref="CF17:CF22" si="63">+BG17+BI17+BK17+BM17+BO17+BQ17+BS17+BU17+BW17+BY17+CA17+CC17</f>
        <v>109</v>
      </c>
      <c r="CG17" s="455">
        <f t="shared" ref="CG17:CG22" si="64">+BR17+BH17+BJ17+BL17+BN17+BP17+BT17+BV17+BX17+BZ17+CB17+CD17</f>
        <v>109</v>
      </c>
      <c r="CH17" s="455">
        <f t="shared" ref="CH17:CH22" si="65">CE17</f>
        <v>109</v>
      </c>
      <c r="CI17" s="455">
        <f t="shared" ref="CI17:CI22" si="66">BJ17+BL17+BN17+BP17+BH17+BR17+BT17+BV17+BX17+BZ17+CB17+CD17</f>
        <v>109</v>
      </c>
      <c r="CJ17" s="426">
        <v>140</v>
      </c>
      <c r="CK17" s="426">
        <v>0</v>
      </c>
      <c r="CL17" s="426">
        <v>0</v>
      </c>
      <c r="CM17" s="426">
        <v>13</v>
      </c>
      <c r="CN17" s="426">
        <v>13</v>
      </c>
      <c r="CO17" s="426">
        <v>13</v>
      </c>
      <c r="CP17" s="426">
        <v>13</v>
      </c>
      <c r="CQ17" s="426">
        <v>13</v>
      </c>
      <c r="CR17" s="426">
        <v>13</v>
      </c>
      <c r="CS17" s="426">
        <v>13</v>
      </c>
      <c r="CT17" s="426">
        <v>13</v>
      </c>
      <c r="CU17" s="426">
        <v>13</v>
      </c>
      <c r="CV17" s="426">
        <v>13</v>
      </c>
      <c r="CW17" s="426">
        <v>13</v>
      </c>
      <c r="CX17" s="426">
        <v>13</v>
      </c>
      <c r="CY17" s="426">
        <v>13</v>
      </c>
      <c r="CZ17" s="426">
        <v>13</v>
      </c>
      <c r="DA17" s="426">
        <v>13</v>
      </c>
      <c r="DB17" s="426">
        <v>13</v>
      </c>
      <c r="DC17" s="426">
        <v>13</v>
      </c>
      <c r="DD17" s="426">
        <v>13</v>
      </c>
      <c r="DE17" s="426">
        <v>13</v>
      </c>
      <c r="DF17" s="426">
        <v>10</v>
      </c>
      <c r="DG17" s="426">
        <v>10</v>
      </c>
      <c r="DH17" s="426">
        <v>10</v>
      </c>
      <c r="DI17" s="426">
        <f t="shared" ref="DI17:DI22" si="67">DG17+DE17+DC17+DA17+CY17+CW17+CU17+CS17+CQ17+CO17+CM17+CK17</f>
        <v>140</v>
      </c>
      <c r="DJ17" s="426">
        <f t="shared" ref="DJ17:DK17" si="68">CK17+CM17+CO17+CQ17+CS17+CU17+CW17+CY17+DA17+DC17+DE17+DG17</f>
        <v>140</v>
      </c>
      <c r="DK17" s="426">
        <f t="shared" si="68"/>
        <v>137</v>
      </c>
      <c r="DL17" s="426">
        <f t="shared" ref="DL17:DL22" si="69">DI17</f>
        <v>140</v>
      </c>
      <c r="DM17" s="426">
        <f t="shared" ref="DM17:DM22" si="70">CN17+CP17+CR17+CT17+CL17+CV17+CX17+CZ17+DB17+DD17+DF17+DH17</f>
        <v>137</v>
      </c>
      <c r="DN17" s="426">
        <v>53</v>
      </c>
      <c r="DO17" s="454"/>
      <c r="DP17" s="454"/>
      <c r="DQ17" s="454"/>
      <c r="DR17" s="454"/>
      <c r="DS17" s="454"/>
      <c r="DT17" s="454"/>
      <c r="DU17" s="454"/>
      <c r="DV17" s="454"/>
      <c r="DW17" s="454"/>
      <c r="DX17" s="454"/>
      <c r="DY17" s="454"/>
      <c r="DZ17" s="454"/>
      <c r="EA17" s="454"/>
      <c r="EB17" s="454"/>
      <c r="EC17" s="454"/>
      <c r="ED17" s="454"/>
      <c r="EE17" s="454"/>
      <c r="EF17" s="454"/>
      <c r="EG17" s="426"/>
      <c r="EH17" s="426"/>
      <c r="EI17" s="426"/>
      <c r="EJ17" s="426"/>
      <c r="EK17" s="426"/>
      <c r="EL17" s="426"/>
      <c r="EM17" s="426">
        <f t="shared" si="50"/>
        <v>0</v>
      </c>
      <c r="EN17" s="426">
        <f t="shared" ref="EN17:EO17" si="71">DO17+DQ17+DS17+DU17</f>
        <v>0</v>
      </c>
      <c r="EO17" s="426">
        <f t="shared" si="71"/>
        <v>0</v>
      </c>
      <c r="EP17" s="456">
        <f t="shared" ref="EP17:EP18" si="72">DQ17+DS17+DU17+DW17+DY17+EA17+EC17+EE17+EG17+EI17+EK17+DO17</f>
        <v>0</v>
      </c>
      <c r="EQ17" s="426"/>
      <c r="ER17" s="457">
        <f t="shared" si="23"/>
        <v>1</v>
      </c>
      <c r="ES17" s="457">
        <f t="shared" si="39"/>
        <v>0.97857142857142854</v>
      </c>
      <c r="ET17" s="458">
        <f t="shared" si="40"/>
        <v>0.97857142857142854</v>
      </c>
      <c r="EU17" s="458">
        <f t="shared" si="41"/>
        <v>0.9942196531791907</v>
      </c>
      <c r="EV17" s="427">
        <f t="shared" si="42"/>
        <v>0.86</v>
      </c>
      <c r="EW17" s="767" t="s">
        <v>356</v>
      </c>
      <c r="EX17" s="734" t="s">
        <v>1351</v>
      </c>
      <c r="EY17" s="734" t="s">
        <v>1352</v>
      </c>
      <c r="EZ17" s="734" t="s">
        <v>357</v>
      </c>
      <c r="FA17" s="734" t="s">
        <v>348</v>
      </c>
      <c r="FB17" s="769"/>
      <c r="FC17" s="80"/>
      <c r="FD17" s="80"/>
    </row>
    <row r="18" spans="1:160" ht="30" customHeight="1" x14ac:dyDescent="0.25">
      <c r="A18" s="694"/>
      <c r="B18" s="694"/>
      <c r="C18" s="694"/>
      <c r="D18" s="694"/>
      <c r="E18" s="694"/>
      <c r="F18" s="81" t="s">
        <v>349</v>
      </c>
      <c r="G18" s="410">
        <f t="shared" si="52"/>
        <v>1009144500</v>
      </c>
      <c r="H18" s="410">
        <v>151328000</v>
      </c>
      <c r="I18" s="410"/>
      <c r="J18" s="410"/>
      <c r="K18" s="410">
        <v>151328000</v>
      </c>
      <c r="L18" s="410">
        <v>0</v>
      </c>
      <c r="M18" s="410">
        <v>142884000</v>
      </c>
      <c r="N18" s="410">
        <v>71774000</v>
      </c>
      <c r="O18" s="410">
        <v>142884000</v>
      </c>
      <c r="P18" s="410">
        <v>71774000</v>
      </c>
      <c r="Q18" s="410">
        <v>140462163</v>
      </c>
      <c r="R18" s="410">
        <v>71774000</v>
      </c>
      <c r="S18" s="410">
        <v>140462163</v>
      </c>
      <c r="T18" s="410">
        <v>121774000</v>
      </c>
      <c r="U18" s="410">
        <v>140462163</v>
      </c>
      <c r="V18" s="410">
        <v>138662000</v>
      </c>
      <c r="W18" s="410">
        <f t="shared" si="53"/>
        <v>151328000</v>
      </c>
      <c r="X18" s="410">
        <f t="shared" si="54"/>
        <v>151328000</v>
      </c>
      <c r="Y18" s="410">
        <f t="shared" si="55"/>
        <v>138662000</v>
      </c>
      <c r="Z18" s="410">
        <f t="shared" ref="Z18:AA18" si="73">+U18</f>
        <v>140462163</v>
      </c>
      <c r="AA18" s="410">
        <f t="shared" si="73"/>
        <v>138662000</v>
      </c>
      <c r="AB18" s="410">
        <v>198130000</v>
      </c>
      <c r="AC18" s="410">
        <v>0</v>
      </c>
      <c r="AD18" s="410">
        <v>0</v>
      </c>
      <c r="AE18" s="410">
        <v>129690000</v>
      </c>
      <c r="AF18" s="410">
        <v>129690000</v>
      </c>
      <c r="AG18" s="410">
        <f>168597000-AF18</f>
        <v>38907000</v>
      </c>
      <c r="AH18" s="410">
        <v>38907000</v>
      </c>
      <c r="AI18" s="410">
        <f>168597000-AF18-AH18</f>
        <v>0</v>
      </c>
      <c r="AJ18" s="410">
        <v>0</v>
      </c>
      <c r="AK18" s="410">
        <f>168597000-AF18-AH18</f>
        <v>0</v>
      </c>
      <c r="AL18" s="410">
        <v>0</v>
      </c>
      <c r="AM18" s="410">
        <v>0</v>
      </c>
      <c r="AN18" s="410">
        <v>0</v>
      </c>
      <c r="AO18" s="410">
        <v>0</v>
      </c>
      <c r="AP18" s="410">
        <v>0</v>
      </c>
      <c r="AQ18" s="410">
        <v>0</v>
      </c>
      <c r="AR18" s="410">
        <v>0</v>
      </c>
      <c r="AS18" s="410">
        <v>4323000</v>
      </c>
      <c r="AT18" s="410">
        <v>0</v>
      </c>
      <c r="AU18" s="410">
        <v>0</v>
      </c>
      <c r="AV18" s="410">
        <v>0</v>
      </c>
      <c r="AW18" s="410">
        <v>0</v>
      </c>
      <c r="AX18" s="410">
        <v>0</v>
      </c>
      <c r="AY18" s="410">
        <v>0</v>
      </c>
      <c r="AZ18" s="410">
        <v>4323000</v>
      </c>
      <c r="BA18" s="410">
        <f t="shared" si="57"/>
        <v>172920000</v>
      </c>
      <c r="BB18" s="410">
        <f t="shared" si="58"/>
        <v>172920000</v>
      </c>
      <c r="BC18" s="410">
        <f t="shared" si="59"/>
        <v>172920000</v>
      </c>
      <c r="BD18" s="410">
        <f t="shared" si="60"/>
        <v>172920000</v>
      </c>
      <c r="BE18" s="410">
        <f t="shared" si="61"/>
        <v>172920000</v>
      </c>
      <c r="BF18" s="410">
        <v>132270000</v>
      </c>
      <c r="BG18" s="410">
        <v>132270000</v>
      </c>
      <c r="BH18" s="410">
        <v>132270000</v>
      </c>
      <c r="BI18" s="410">
        <v>0</v>
      </c>
      <c r="BJ18" s="410">
        <v>0</v>
      </c>
      <c r="BK18" s="410">
        <v>0</v>
      </c>
      <c r="BL18" s="410">
        <v>0</v>
      </c>
      <c r="BM18" s="410">
        <v>0</v>
      </c>
      <c r="BN18" s="410">
        <v>0</v>
      </c>
      <c r="BO18" s="410">
        <v>0</v>
      </c>
      <c r="BP18" s="410">
        <v>0</v>
      </c>
      <c r="BQ18" s="410">
        <v>0</v>
      </c>
      <c r="BR18" s="410">
        <v>0</v>
      </c>
      <c r="BS18" s="410">
        <v>0</v>
      </c>
      <c r="BT18" s="410">
        <v>0</v>
      </c>
      <c r="BU18" s="410">
        <v>0</v>
      </c>
      <c r="BV18" s="410">
        <v>0</v>
      </c>
      <c r="BW18" s="410">
        <v>0</v>
      </c>
      <c r="BX18" s="410">
        <v>0</v>
      </c>
      <c r="BY18" s="410">
        <v>0</v>
      </c>
      <c r="BZ18" s="410">
        <v>0</v>
      </c>
      <c r="CA18" s="410">
        <v>8818000</v>
      </c>
      <c r="CB18" s="410">
        <v>6613500</v>
      </c>
      <c r="CC18" s="410">
        <v>0</v>
      </c>
      <c r="CD18" s="410">
        <v>0</v>
      </c>
      <c r="CE18" s="410">
        <f t="shared" si="62"/>
        <v>141088000</v>
      </c>
      <c r="CF18" s="410">
        <f t="shared" si="63"/>
        <v>141088000</v>
      </c>
      <c r="CG18" s="410">
        <f t="shared" si="64"/>
        <v>138883500</v>
      </c>
      <c r="CH18" s="410">
        <f t="shared" si="65"/>
        <v>141088000</v>
      </c>
      <c r="CI18" s="410">
        <f t="shared" si="66"/>
        <v>138883500</v>
      </c>
      <c r="CJ18" s="410">
        <v>180497000</v>
      </c>
      <c r="CK18" s="410">
        <v>0</v>
      </c>
      <c r="CL18" s="410">
        <v>0</v>
      </c>
      <c r="CM18" s="410">
        <v>44090000</v>
      </c>
      <c r="CN18" s="410">
        <v>44090000</v>
      </c>
      <c r="CO18" s="410">
        <v>88180000</v>
      </c>
      <c r="CP18" s="410">
        <v>88180000</v>
      </c>
      <c r="CQ18" s="410">
        <v>0</v>
      </c>
      <c r="CR18" s="410">
        <v>0</v>
      </c>
      <c r="CS18" s="410">
        <v>35000000</v>
      </c>
      <c r="CT18" s="410">
        <v>0</v>
      </c>
      <c r="CU18" s="410"/>
      <c r="CV18" s="410"/>
      <c r="CW18" s="410">
        <v>-8818000</v>
      </c>
      <c r="CX18" s="410">
        <v>0</v>
      </c>
      <c r="CY18" s="410"/>
      <c r="CZ18" s="410">
        <v>0</v>
      </c>
      <c r="DA18" s="410"/>
      <c r="DB18" s="410"/>
      <c r="DC18" s="410"/>
      <c r="DD18" s="410"/>
      <c r="DE18" s="410"/>
      <c r="DF18" s="410"/>
      <c r="DG18" s="410">
        <v>13227000</v>
      </c>
      <c r="DH18" s="410">
        <v>22409000</v>
      </c>
      <c r="DI18" s="410">
        <f t="shared" si="67"/>
        <v>171679000</v>
      </c>
      <c r="DJ18" s="410">
        <f t="shared" ref="DJ18:DK18" si="74">CK18+CM18+CO18+CQ18+CS18+CU18+CW18+CY18+DA18+DC18+DE18+DG18</f>
        <v>171679000</v>
      </c>
      <c r="DK18" s="410">
        <f t="shared" si="74"/>
        <v>154679000</v>
      </c>
      <c r="DL18" s="428">
        <f t="shared" si="69"/>
        <v>171679000</v>
      </c>
      <c r="DM18" s="410">
        <f t="shared" si="70"/>
        <v>154679000</v>
      </c>
      <c r="DN18" s="410">
        <v>387000000</v>
      </c>
      <c r="DO18" s="413"/>
      <c r="DP18" s="413"/>
      <c r="DQ18" s="413"/>
      <c r="DR18" s="413"/>
      <c r="DS18" s="413"/>
      <c r="DT18" s="413"/>
      <c r="DU18" s="413"/>
      <c r="DV18" s="413"/>
      <c r="DW18" s="413"/>
      <c r="DX18" s="413"/>
      <c r="DY18" s="413"/>
      <c r="DZ18" s="413"/>
      <c r="EA18" s="413"/>
      <c r="EB18" s="413"/>
      <c r="EC18" s="413"/>
      <c r="ED18" s="413"/>
      <c r="EE18" s="413"/>
      <c r="EF18" s="413"/>
      <c r="EG18" s="413"/>
      <c r="EH18" s="413"/>
      <c r="EI18" s="413"/>
      <c r="EJ18" s="413"/>
      <c r="EK18" s="413"/>
      <c r="EL18" s="413"/>
      <c r="EM18" s="402">
        <f t="shared" si="50"/>
        <v>0</v>
      </c>
      <c r="EN18" s="413">
        <f t="shared" ref="EN18:EO18" si="75">DO18+DQ18+DS18+DU18</f>
        <v>0</v>
      </c>
      <c r="EO18" s="413">
        <f t="shared" si="75"/>
        <v>0</v>
      </c>
      <c r="EP18" s="410">
        <f t="shared" si="72"/>
        <v>0</v>
      </c>
      <c r="EQ18" s="413"/>
      <c r="ER18" s="407">
        <f t="shared" si="23"/>
        <v>1.6941861344220155</v>
      </c>
      <c r="ES18" s="407">
        <f t="shared" si="39"/>
        <v>0.90097798798921247</v>
      </c>
      <c r="ET18" s="408">
        <f t="shared" si="40"/>
        <v>0.90097798798921247</v>
      </c>
      <c r="EU18" s="408">
        <f t="shared" si="41"/>
        <v>0.96645421851342472</v>
      </c>
      <c r="EV18" s="409">
        <f t="shared" si="42"/>
        <v>0.59966090089179502</v>
      </c>
      <c r="EW18" s="735"/>
      <c r="EX18" s="734"/>
      <c r="EY18" s="735"/>
      <c r="EZ18" s="735"/>
      <c r="FA18" s="735"/>
      <c r="FB18" s="770"/>
      <c r="FC18" s="87"/>
      <c r="FD18" s="87"/>
    </row>
    <row r="19" spans="1:160" ht="30" customHeight="1" x14ac:dyDescent="0.25">
      <c r="A19" s="694"/>
      <c r="B19" s="694"/>
      <c r="C19" s="694"/>
      <c r="D19" s="694"/>
      <c r="E19" s="694"/>
      <c r="F19" s="83" t="s">
        <v>350</v>
      </c>
      <c r="G19" s="410"/>
      <c r="H19" s="410"/>
      <c r="I19" s="410"/>
      <c r="J19" s="410"/>
      <c r="K19" s="410"/>
      <c r="L19" s="410"/>
      <c r="M19" s="410"/>
      <c r="N19" s="410"/>
      <c r="O19" s="410"/>
      <c r="P19" s="410"/>
      <c r="Q19" s="410"/>
      <c r="R19" s="410"/>
      <c r="S19" s="410"/>
      <c r="T19" s="410"/>
      <c r="U19" s="410"/>
      <c r="V19" s="410"/>
      <c r="W19" s="410">
        <f t="shared" si="53"/>
        <v>0</v>
      </c>
      <c r="X19" s="410">
        <f t="shared" si="54"/>
        <v>0</v>
      </c>
      <c r="Y19" s="410">
        <f t="shared" si="55"/>
        <v>0</v>
      </c>
      <c r="Z19" s="410">
        <f t="shared" ref="Z19:AA19" si="76">+U19</f>
        <v>0</v>
      </c>
      <c r="AA19" s="410">
        <f t="shared" si="76"/>
        <v>0</v>
      </c>
      <c r="AB19" s="410"/>
      <c r="AC19" s="410"/>
      <c r="AD19" s="410"/>
      <c r="AE19" s="410"/>
      <c r="AF19" s="410"/>
      <c r="AG19" s="410">
        <v>7349100</v>
      </c>
      <c r="AH19" s="410">
        <v>7349100</v>
      </c>
      <c r="AI19" s="410">
        <f>22047300-AH19</f>
        <v>14698200</v>
      </c>
      <c r="AJ19" s="410">
        <v>14698200</v>
      </c>
      <c r="AK19" s="410">
        <v>17292000</v>
      </c>
      <c r="AL19" s="410">
        <v>17292000</v>
      </c>
      <c r="AM19" s="410">
        <v>17394640</v>
      </c>
      <c r="AN19" s="410">
        <v>17292000</v>
      </c>
      <c r="AO19" s="410">
        <v>17394640</v>
      </c>
      <c r="AP19" s="410">
        <v>17292000</v>
      </c>
      <c r="AQ19" s="410">
        <v>17394640</v>
      </c>
      <c r="AR19" s="410">
        <v>17292000</v>
      </c>
      <c r="AS19" s="410">
        <v>17394640</v>
      </c>
      <c r="AT19" s="410">
        <v>17292000</v>
      </c>
      <c r="AU19" s="410">
        <v>17394640</v>
      </c>
      <c r="AV19" s="410">
        <v>17292000</v>
      </c>
      <c r="AW19" s="410">
        <v>17394640</v>
      </c>
      <c r="AX19" s="410">
        <v>17292000</v>
      </c>
      <c r="AY19" s="410">
        <v>17394640</v>
      </c>
      <c r="AZ19" s="410">
        <v>12969000</v>
      </c>
      <c r="BA19" s="410">
        <f t="shared" si="57"/>
        <v>161101780</v>
      </c>
      <c r="BB19" s="410">
        <f t="shared" si="58"/>
        <v>161101780</v>
      </c>
      <c r="BC19" s="410">
        <f t="shared" si="59"/>
        <v>156060300</v>
      </c>
      <c r="BD19" s="410">
        <f t="shared" si="60"/>
        <v>161101780</v>
      </c>
      <c r="BE19" s="410">
        <f t="shared" si="61"/>
        <v>156060300</v>
      </c>
      <c r="BF19" s="410"/>
      <c r="BG19" s="410">
        <v>0</v>
      </c>
      <c r="BH19" s="410">
        <v>0</v>
      </c>
      <c r="BI19" s="410">
        <v>6613500</v>
      </c>
      <c r="BJ19" s="410">
        <v>2792367</v>
      </c>
      <c r="BK19" s="410">
        <v>13227000</v>
      </c>
      <c r="BL19" s="410">
        <f>16460267-2792367</f>
        <v>13667900</v>
      </c>
      <c r="BM19" s="410">
        <v>13227000</v>
      </c>
      <c r="BN19" s="410">
        <v>13227000</v>
      </c>
      <c r="BO19" s="410">
        <v>13227000</v>
      </c>
      <c r="BP19" s="410">
        <v>13227000</v>
      </c>
      <c r="BQ19" s="410">
        <v>13227000</v>
      </c>
      <c r="BR19" s="410">
        <v>13227000</v>
      </c>
      <c r="BS19" s="410">
        <v>13227000</v>
      </c>
      <c r="BT19" s="410">
        <v>13227000</v>
      </c>
      <c r="BU19" s="410">
        <v>13227000</v>
      </c>
      <c r="BV19" s="410">
        <v>13227000</v>
      </c>
      <c r="BW19" s="410">
        <v>13227000</v>
      </c>
      <c r="BX19" s="410">
        <v>13227000</v>
      </c>
      <c r="BY19" s="410">
        <v>13227000</v>
      </c>
      <c r="BZ19" s="410">
        <v>8818000</v>
      </c>
      <c r="CA19" s="410">
        <v>13227000</v>
      </c>
      <c r="CB19" s="410">
        <v>13227000</v>
      </c>
      <c r="CC19" s="410">
        <f>6613500+8818000</f>
        <v>15431500</v>
      </c>
      <c r="CD19" s="410">
        <v>12639133</v>
      </c>
      <c r="CE19" s="410">
        <f t="shared" si="62"/>
        <v>141088000</v>
      </c>
      <c r="CF19" s="410">
        <f t="shared" si="63"/>
        <v>141088000</v>
      </c>
      <c r="CG19" s="410">
        <f t="shared" si="64"/>
        <v>130506400</v>
      </c>
      <c r="CH19" s="410">
        <f t="shared" si="65"/>
        <v>141088000</v>
      </c>
      <c r="CI19" s="410">
        <f t="shared" si="66"/>
        <v>130506400</v>
      </c>
      <c r="CJ19" s="410">
        <v>180497000</v>
      </c>
      <c r="CK19" s="410"/>
      <c r="CL19" s="410"/>
      <c r="CM19" s="410"/>
      <c r="CN19" s="410"/>
      <c r="CO19" s="410">
        <v>0</v>
      </c>
      <c r="CP19" s="410">
        <v>0</v>
      </c>
      <c r="CQ19" s="410">
        <v>13227000</v>
      </c>
      <c r="CR19" s="410">
        <v>7936200</v>
      </c>
      <c r="CS19" s="410">
        <v>13227000</v>
      </c>
      <c r="CT19" s="410">
        <v>15872400</v>
      </c>
      <c r="CU19" s="410">
        <v>13227000</v>
      </c>
      <c r="CV19" s="410">
        <v>13227000</v>
      </c>
      <c r="CW19" s="410">
        <v>13227000</v>
      </c>
      <c r="CX19" s="410">
        <v>13227000</v>
      </c>
      <c r="CY19" s="410">
        <v>13227000</v>
      </c>
      <c r="CZ19" s="410">
        <v>13227000</v>
      </c>
      <c r="DA19" s="410">
        <v>13227000</v>
      </c>
      <c r="DB19" s="410">
        <v>8818000</v>
      </c>
      <c r="DC19" s="410">
        <v>13227000</v>
      </c>
      <c r="DD19" s="410">
        <v>13227000</v>
      </c>
      <c r="DE19" s="410">
        <v>13227000</v>
      </c>
      <c r="DF19" s="410">
        <v>13227000</v>
      </c>
      <c r="DG19" s="410">
        <f>74681000-8818000</f>
        <v>65863000</v>
      </c>
      <c r="DH19" s="410">
        <v>13227000</v>
      </c>
      <c r="DI19" s="410">
        <f>DG19+DE19+DC19+DA19+CY19+CW19+CU19+CS19+CQ19+CO19+CM19+CK19</f>
        <v>171679000</v>
      </c>
      <c r="DJ19" s="410">
        <f t="shared" ref="DJ19:DK19" si="77">CK19+CM19+CO19+CQ19+CS19+CU19+CW19+CY19+DA19+DC19+DE19+DG19</f>
        <v>171679000</v>
      </c>
      <c r="DK19" s="410">
        <f t="shared" si="77"/>
        <v>111988600</v>
      </c>
      <c r="DL19" s="428">
        <f t="shared" si="69"/>
        <v>171679000</v>
      </c>
      <c r="DM19" s="410">
        <f t="shared" si="70"/>
        <v>111988600</v>
      </c>
      <c r="DN19" s="413"/>
      <c r="DO19" s="413"/>
      <c r="DP19" s="413"/>
      <c r="DQ19" s="413"/>
      <c r="DR19" s="413"/>
      <c r="DS19" s="413"/>
      <c r="DT19" s="413"/>
      <c r="DU19" s="413"/>
      <c r="DV19" s="413"/>
      <c r="DW19" s="413"/>
      <c r="DX19" s="413"/>
      <c r="DY19" s="413"/>
      <c r="DZ19" s="413"/>
      <c r="EA19" s="413"/>
      <c r="EB19" s="413"/>
      <c r="EC19" s="413"/>
      <c r="ED19" s="413"/>
      <c r="EE19" s="413"/>
      <c r="EF19" s="413"/>
      <c r="EG19" s="413"/>
      <c r="EH19" s="413"/>
      <c r="EI19" s="413"/>
      <c r="EJ19" s="413"/>
      <c r="EK19" s="413"/>
      <c r="EL19" s="413"/>
      <c r="EM19" s="402">
        <f t="shared" ref="EM19:EM22" si="78">EI19+EG19+EE19+EC19+EA19+DY19+DW19+DU19+DS19+DQ19+DO19+EK19</f>
        <v>0</v>
      </c>
      <c r="EN19" s="413">
        <f t="shared" ref="EN19:EO19" si="79">DO19+DQ19+DS19+DU19</f>
        <v>0</v>
      </c>
      <c r="EO19" s="413">
        <f t="shared" si="79"/>
        <v>0</v>
      </c>
      <c r="EP19" s="412">
        <f t="shared" ref="EP19:EP20" si="80">DQ19+DS19+DU19+DW19+DY19+EA19+EC19+EE19+EG19+EI19+EK19</f>
        <v>0</v>
      </c>
      <c r="EQ19" s="413"/>
      <c r="ER19" s="407">
        <f t="shared" si="23"/>
        <v>0.20082595691055677</v>
      </c>
      <c r="ES19" s="407">
        <f t="shared" si="39"/>
        <v>0.65231391142772266</v>
      </c>
      <c r="ET19" s="408">
        <f t="shared" si="40"/>
        <v>0.65231391142772266</v>
      </c>
      <c r="EU19" s="408">
        <f t="shared" si="41"/>
        <v>0.84106680334585449</v>
      </c>
      <c r="EV19" s="409">
        <f t="shared" ref="EV19:EV20" si="81">IFERROR((AA19+BE19+CI19+DM19)/G19,0)</f>
        <v>0</v>
      </c>
      <c r="EW19" s="735"/>
      <c r="EX19" s="734"/>
      <c r="EY19" s="735"/>
      <c r="EZ19" s="735"/>
      <c r="FA19" s="735"/>
      <c r="FB19" s="770"/>
      <c r="FC19" s="87"/>
      <c r="FD19" s="87"/>
    </row>
    <row r="20" spans="1:160" ht="30" customHeight="1" x14ac:dyDescent="0.25">
      <c r="A20" s="694"/>
      <c r="B20" s="694"/>
      <c r="C20" s="694"/>
      <c r="D20" s="694"/>
      <c r="E20" s="694"/>
      <c r="F20" s="84" t="s">
        <v>351</v>
      </c>
      <c r="G20" s="374"/>
      <c r="H20" s="415"/>
      <c r="I20" s="416"/>
      <c r="J20" s="416"/>
      <c r="K20" s="416"/>
      <c r="L20" s="416"/>
      <c r="M20" s="416"/>
      <c r="N20" s="416"/>
      <c r="O20" s="416"/>
      <c r="P20" s="416"/>
      <c r="Q20" s="416"/>
      <c r="R20" s="416"/>
      <c r="S20" s="416"/>
      <c r="T20" s="416"/>
      <c r="U20" s="416"/>
      <c r="V20" s="416"/>
      <c r="W20" s="406">
        <f t="shared" si="53"/>
        <v>0</v>
      </c>
      <c r="X20" s="406">
        <f t="shared" si="54"/>
        <v>0</v>
      </c>
      <c r="Y20" s="406">
        <f t="shared" si="55"/>
        <v>0</v>
      </c>
      <c r="Z20" s="406">
        <f t="shared" ref="Z20:AA20" si="82">+U20</f>
        <v>0</v>
      </c>
      <c r="AA20" s="406">
        <f t="shared" si="82"/>
        <v>0</v>
      </c>
      <c r="AB20" s="374"/>
      <c r="AC20" s="374"/>
      <c r="AD20" s="374"/>
      <c r="AE20" s="374"/>
      <c r="AF20" s="374"/>
      <c r="AG20" s="411"/>
      <c r="AH20" s="411"/>
      <c r="AI20" s="374"/>
      <c r="AJ20" s="374"/>
      <c r="AK20" s="416"/>
      <c r="AL20" s="416"/>
      <c r="AM20" s="416"/>
      <c r="AN20" s="416"/>
      <c r="AO20" s="416"/>
      <c r="AP20" s="416"/>
      <c r="AQ20" s="416"/>
      <c r="AR20" s="416"/>
      <c r="AS20" s="416"/>
      <c r="AT20" s="416"/>
      <c r="AU20" s="416"/>
      <c r="AV20" s="416"/>
      <c r="AW20" s="416"/>
      <c r="AX20" s="416"/>
      <c r="AY20" s="418"/>
      <c r="AZ20" s="416"/>
      <c r="BA20" s="406">
        <f t="shared" si="57"/>
        <v>0</v>
      </c>
      <c r="BB20" s="406">
        <f t="shared" si="58"/>
        <v>0</v>
      </c>
      <c r="BC20" s="406">
        <f t="shared" si="59"/>
        <v>0</v>
      </c>
      <c r="BD20" s="406">
        <f t="shared" si="60"/>
        <v>0</v>
      </c>
      <c r="BE20" s="406">
        <f t="shared" si="61"/>
        <v>0</v>
      </c>
      <c r="BF20" s="416"/>
      <c r="BG20" s="416"/>
      <c r="BH20" s="416"/>
      <c r="BI20" s="416"/>
      <c r="BJ20" s="429"/>
      <c r="BK20" s="416"/>
      <c r="BL20" s="416"/>
      <c r="BM20" s="416"/>
      <c r="BN20" s="416"/>
      <c r="BO20" s="416"/>
      <c r="BP20" s="416"/>
      <c r="BQ20" s="416"/>
      <c r="BR20" s="416"/>
      <c r="BS20" s="416"/>
      <c r="BT20" s="416"/>
      <c r="BU20" s="416"/>
      <c r="BV20" s="416"/>
      <c r="BW20" s="416"/>
      <c r="BX20" s="416"/>
      <c r="BY20" s="416"/>
      <c r="BZ20" s="416"/>
      <c r="CA20" s="416"/>
      <c r="CB20" s="416"/>
      <c r="CC20" s="416"/>
      <c r="CD20" s="416"/>
      <c r="CE20" s="406">
        <f t="shared" si="62"/>
        <v>0</v>
      </c>
      <c r="CF20" s="406">
        <f t="shared" si="63"/>
        <v>0</v>
      </c>
      <c r="CG20" s="406">
        <f t="shared" si="64"/>
        <v>0</v>
      </c>
      <c r="CH20" s="406">
        <f t="shared" si="65"/>
        <v>0</v>
      </c>
      <c r="CI20" s="406">
        <f t="shared" si="66"/>
        <v>0</v>
      </c>
      <c r="CJ20" s="416"/>
      <c r="CK20" s="416"/>
      <c r="CL20" s="416"/>
      <c r="CM20" s="416"/>
      <c r="CN20" s="416"/>
      <c r="CO20" s="416"/>
      <c r="CP20" s="416"/>
      <c r="CQ20" s="416"/>
      <c r="CR20" s="416"/>
      <c r="CS20" s="416"/>
      <c r="CT20" s="416"/>
      <c r="CU20" s="416"/>
      <c r="CV20" s="416"/>
      <c r="CW20" s="416"/>
      <c r="CX20" s="416"/>
      <c r="CY20" s="416"/>
      <c r="CZ20" s="416"/>
      <c r="DA20" s="416"/>
      <c r="DB20" s="416"/>
      <c r="DC20" s="416"/>
      <c r="DD20" s="416"/>
      <c r="DE20" s="416"/>
      <c r="DF20" s="416"/>
      <c r="DG20" s="416"/>
      <c r="DH20" s="416"/>
      <c r="DI20" s="422">
        <f t="shared" si="67"/>
        <v>0</v>
      </c>
      <c r="DJ20" s="402">
        <f t="shared" ref="DJ20:DK20" si="83">CK20+CM20+CO20+CQ20+CS20+CU20+CW20+CY20+DA20+DC20+DE20+DG20</f>
        <v>0</v>
      </c>
      <c r="DK20" s="402">
        <f t="shared" si="83"/>
        <v>0</v>
      </c>
      <c r="DL20" s="422">
        <f t="shared" si="69"/>
        <v>0</v>
      </c>
      <c r="DM20" s="402">
        <f t="shared" si="70"/>
        <v>0</v>
      </c>
      <c r="DN20" s="416"/>
      <c r="DO20" s="416"/>
      <c r="DP20" s="416"/>
      <c r="DQ20" s="416"/>
      <c r="DR20" s="416"/>
      <c r="DS20" s="416"/>
      <c r="DT20" s="416"/>
      <c r="DU20" s="416"/>
      <c r="DV20" s="416"/>
      <c r="DW20" s="416"/>
      <c r="DX20" s="416"/>
      <c r="DY20" s="416"/>
      <c r="DZ20" s="416"/>
      <c r="EA20" s="416"/>
      <c r="EB20" s="416"/>
      <c r="EC20" s="416"/>
      <c r="ED20" s="416"/>
      <c r="EE20" s="416"/>
      <c r="EF20" s="416"/>
      <c r="EG20" s="416"/>
      <c r="EH20" s="416"/>
      <c r="EI20" s="416"/>
      <c r="EJ20" s="416"/>
      <c r="EK20" s="416"/>
      <c r="EL20" s="416"/>
      <c r="EM20" s="405">
        <f t="shared" si="78"/>
        <v>0</v>
      </c>
      <c r="EN20" s="429">
        <f t="shared" ref="EN20:EO20" si="84">DO20+DQ20+DS20+DU20</f>
        <v>0</v>
      </c>
      <c r="EO20" s="429">
        <f t="shared" si="84"/>
        <v>0</v>
      </c>
      <c r="EP20" s="430">
        <f t="shared" si="80"/>
        <v>0</v>
      </c>
      <c r="EQ20" s="405"/>
      <c r="ER20" s="407">
        <f>IFERROR(DH20/DG20,0)</f>
        <v>0</v>
      </c>
      <c r="ES20" s="407">
        <f>IFERROR(DK20/DJ20,0)</f>
        <v>0</v>
      </c>
      <c r="ET20" s="408">
        <f>IFERROR(DM20/DL20,0)</f>
        <v>0</v>
      </c>
      <c r="EU20" s="408">
        <f>IFERROR((AA20+BE20+CI20+DK20)/(Z20+BD20+CH20+DJ20),0)</f>
        <v>0</v>
      </c>
      <c r="EV20" s="409">
        <f t="shared" si="81"/>
        <v>0</v>
      </c>
      <c r="EW20" s="735"/>
      <c r="EX20" s="734"/>
      <c r="EY20" s="735"/>
      <c r="EZ20" s="735"/>
      <c r="FA20" s="735"/>
      <c r="FB20" s="770"/>
      <c r="FC20" s="88"/>
      <c r="FD20" s="88"/>
    </row>
    <row r="21" spans="1:160" ht="30" customHeight="1" x14ac:dyDescent="0.25">
      <c r="A21" s="694"/>
      <c r="B21" s="694"/>
      <c r="C21" s="694"/>
      <c r="D21" s="694"/>
      <c r="E21" s="694"/>
      <c r="F21" s="85" t="s">
        <v>352</v>
      </c>
      <c r="G21" s="410">
        <f>AA21+BE21+CI21+DL21+DN21</f>
        <v>67094971</v>
      </c>
      <c r="H21" s="410"/>
      <c r="I21" s="410"/>
      <c r="J21" s="410"/>
      <c r="K21" s="410"/>
      <c r="L21" s="410"/>
      <c r="M21" s="410"/>
      <c r="N21" s="410"/>
      <c r="O21" s="410"/>
      <c r="P21" s="410"/>
      <c r="Q21" s="410"/>
      <c r="R21" s="410"/>
      <c r="S21" s="410"/>
      <c r="T21" s="410"/>
      <c r="U21" s="410"/>
      <c r="V21" s="410"/>
      <c r="W21" s="410">
        <f t="shared" si="53"/>
        <v>0</v>
      </c>
      <c r="X21" s="410">
        <f t="shared" si="54"/>
        <v>0</v>
      </c>
      <c r="Y21" s="410">
        <f t="shared" si="55"/>
        <v>0</v>
      </c>
      <c r="Z21" s="410">
        <f t="shared" ref="Z21:AA21" si="85">+U21</f>
        <v>0</v>
      </c>
      <c r="AA21" s="410">
        <f t="shared" si="85"/>
        <v>0</v>
      </c>
      <c r="AB21" s="410">
        <v>41858171</v>
      </c>
      <c r="AC21" s="410">
        <v>0</v>
      </c>
      <c r="AD21" s="410">
        <v>0</v>
      </c>
      <c r="AE21" s="410">
        <v>19427343</v>
      </c>
      <c r="AF21" s="410">
        <v>19427343</v>
      </c>
      <c r="AG21" s="410">
        <f>41858171-AF21</f>
        <v>22430828</v>
      </c>
      <c r="AH21" s="410">
        <v>22430828</v>
      </c>
      <c r="AI21" s="410">
        <f>41858171-AF21-AH21</f>
        <v>0</v>
      </c>
      <c r="AJ21" s="410">
        <v>0</v>
      </c>
      <c r="AK21" s="410">
        <v>0</v>
      </c>
      <c r="AL21" s="410">
        <v>0</v>
      </c>
      <c r="AM21" s="410">
        <v>0</v>
      </c>
      <c r="AN21" s="410">
        <v>0</v>
      </c>
      <c r="AO21" s="410">
        <v>0</v>
      </c>
      <c r="AP21" s="410">
        <v>0</v>
      </c>
      <c r="AQ21" s="410"/>
      <c r="AR21" s="410"/>
      <c r="AS21" s="410"/>
      <c r="AT21" s="410">
        <v>0</v>
      </c>
      <c r="AU21" s="410"/>
      <c r="AV21" s="410">
        <v>0</v>
      </c>
      <c r="AW21" s="410"/>
      <c r="AX21" s="410">
        <v>0</v>
      </c>
      <c r="AY21" s="410"/>
      <c r="AZ21" s="410">
        <v>0</v>
      </c>
      <c r="BA21" s="410">
        <f t="shared" si="57"/>
        <v>41858171</v>
      </c>
      <c r="BB21" s="410">
        <f t="shared" si="58"/>
        <v>41858171</v>
      </c>
      <c r="BC21" s="410">
        <f t="shared" si="59"/>
        <v>41858171</v>
      </c>
      <c r="BD21" s="410">
        <f t="shared" si="60"/>
        <v>41858171</v>
      </c>
      <c r="BE21" s="410">
        <f t="shared" si="61"/>
        <v>41858171</v>
      </c>
      <c r="BF21" s="410">
        <v>16859700</v>
      </c>
      <c r="BG21" s="410">
        <v>13257200</v>
      </c>
      <c r="BH21" s="410">
        <v>13257200</v>
      </c>
      <c r="BI21" s="410">
        <v>3602500</v>
      </c>
      <c r="BJ21" s="410">
        <v>3602500</v>
      </c>
      <c r="BK21" s="410">
        <v>0</v>
      </c>
      <c r="BL21" s="410">
        <v>0</v>
      </c>
      <c r="BM21" s="410">
        <v>0</v>
      </c>
      <c r="BN21" s="410">
        <v>0</v>
      </c>
      <c r="BO21" s="410">
        <v>0</v>
      </c>
      <c r="BP21" s="410"/>
      <c r="BQ21" s="410">
        <v>0</v>
      </c>
      <c r="BR21" s="410">
        <v>0</v>
      </c>
      <c r="BS21" s="410">
        <v>0</v>
      </c>
      <c r="BT21" s="410">
        <v>0</v>
      </c>
      <c r="BU21" s="410"/>
      <c r="BV21" s="410">
        <v>0</v>
      </c>
      <c r="BW21" s="410"/>
      <c r="BX21" s="410"/>
      <c r="BY21" s="410">
        <v>0</v>
      </c>
      <c r="BZ21" s="410">
        <v>0</v>
      </c>
      <c r="CA21" s="410"/>
      <c r="CB21" s="410">
        <v>0</v>
      </c>
      <c r="CC21" s="410"/>
      <c r="CD21" s="410"/>
      <c r="CE21" s="410">
        <f t="shared" si="62"/>
        <v>16859700</v>
      </c>
      <c r="CF21" s="410">
        <f t="shared" si="63"/>
        <v>16859700</v>
      </c>
      <c r="CG21" s="410">
        <f t="shared" si="64"/>
        <v>16859700</v>
      </c>
      <c r="CH21" s="410">
        <f t="shared" si="65"/>
        <v>16859700</v>
      </c>
      <c r="CI21" s="410">
        <f t="shared" si="66"/>
        <v>16859700</v>
      </c>
      <c r="CJ21" s="410">
        <v>8377100</v>
      </c>
      <c r="CK21" s="410">
        <v>8377100</v>
      </c>
      <c r="CL21" s="410">
        <v>8377100</v>
      </c>
      <c r="CM21" s="410">
        <v>0</v>
      </c>
      <c r="CN21" s="410">
        <v>0</v>
      </c>
      <c r="CO21" s="410">
        <v>0</v>
      </c>
      <c r="CP21" s="410">
        <v>0</v>
      </c>
      <c r="CQ21" s="410"/>
      <c r="CR21" s="410">
        <v>0</v>
      </c>
      <c r="CS21" s="410"/>
      <c r="CT21" s="410">
        <v>0</v>
      </c>
      <c r="CU21" s="410"/>
      <c r="CV21" s="410"/>
      <c r="CW21" s="410"/>
      <c r="CX21" s="410"/>
      <c r="CY21" s="410"/>
      <c r="CZ21" s="410"/>
      <c r="DA21" s="410"/>
      <c r="DB21" s="410"/>
      <c r="DC21" s="410"/>
      <c r="DD21" s="410"/>
      <c r="DE21" s="410"/>
      <c r="DF21" s="410"/>
      <c r="DG21" s="410"/>
      <c r="DH21" s="410"/>
      <c r="DI21" s="410">
        <f t="shared" si="67"/>
        <v>8377100</v>
      </c>
      <c r="DJ21" s="410">
        <f t="shared" ref="DJ21:DK21" si="86">CK21+CM21+CO21+CQ21+CS21+CU21+CW21+CY21+DA21+DC21+DE21+DG21</f>
        <v>8377100</v>
      </c>
      <c r="DK21" s="410">
        <f t="shared" si="86"/>
        <v>8377100</v>
      </c>
      <c r="DL21" s="422">
        <f t="shared" si="69"/>
        <v>8377100</v>
      </c>
      <c r="DM21" s="410">
        <f t="shared" si="70"/>
        <v>8377100</v>
      </c>
      <c r="DN21" s="411"/>
      <c r="DO21" s="411"/>
      <c r="DP21" s="411"/>
      <c r="DQ21" s="411"/>
      <c r="DR21" s="411"/>
      <c r="DS21" s="411"/>
      <c r="DT21" s="411"/>
      <c r="DU21" s="411"/>
      <c r="DV21" s="411"/>
      <c r="DW21" s="411"/>
      <c r="DX21" s="411"/>
      <c r="DY21" s="411"/>
      <c r="DZ21" s="411"/>
      <c r="EA21" s="411"/>
      <c r="EB21" s="411"/>
      <c r="EC21" s="411"/>
      <c r="ED21" s="411"/>
      <c r="EE21" s="411"/>
      <c r="EF21" s="411"/>
      <c r="EG21" s="411"/>
      <c r="EH21" s="411"/>
      <c r="EI21" s="411"/>
      <c r="EJ21" s="411"/>
      <c r="EK21" s="411"/>
      <c r="EL21" s="411"/>
      <c r="EM21" s="405">
        <f t="shared" si="78"/>
        <v>0</v>
      </c>
      <c r="EN21" s="413">
        <f t="shared" ref="EN21:EO21" si="87">DO21+DQ21+DS21+DU21</f>
        <v>0</v>
      </c>
      <c r="EO21" s="413">
        <f t="shared" si="87"/>
        <v>0</v>
      </c>
      <c r="EP21" s="412">
        <f t="shared" ref="EP21:EP22" si="88">DQ21+DS21+DU21+DW21+DY21+EA21+EC21+EE21+EG21+EI21+EK21+DO21</f>
        <v>0</v>
      </c>
      <c r="EQ21" s="413"/>
      <c r="ER21" s="407">
        <f>IFERROR(DH21/DG21,0)</f>
        <v>0</v>
      </c>
      <c r="ES21" s="407">
        <f t="shared" ref="ES21:ES26" si="89">DK21/DJ21</f>
        <v>1</v>
      </c>
      <c r="ET21" s="408">
        <f t="shared" ref="ET21:ET26" si="90">DM21/DL21</f>
        <v>1</v>
      </c>
      <c r="EU21" s="408">
        <f t="shared" ref="EU21:EU26" si="91">(AA21+BE21+CI21+DK21)/(Z21+BD21+CH21+DJ21)</f>
        <v>1</v>
      </c>
      <c r="EV21" s="409">
        <f t="shared" ref="EV21:EV25" si="92">(AA21+BE21+CI21+DM21)/G21</f>
        <v>1</v>
      </c>
      <c r="EW21" s="735"/>
      <c r="EX21" s="734"/>
      <c r="EY21" s="735"/>
      <c r="EZ21" s="735"/>
      <c r="FA21" s="735"/>
      <c r="FB21" s="770"/>
      <c r="FC21" s="88"/>
      <c r="FD21" s="88"/>
    </row>
    <row r="22" spans="1:160" ht="30" customHeight="1" thickBot="1" x14ac:dyDescent="0.3">
      <c r="A22" s="694"/>
      <c r="B22" s="694"/>
      <c r="C22" s="694"/>
      <c r="D22" s="694"/>
      <c r="E22" s="694"/>
      <c r="F22" s="84" t="s">
        <v>353</v>
      </c>
      <c r="G22" s="447">
        <f t="shared" ref="G22:G23" si="93">G17+G20</f>
        <v>400</v>
      </c>
      <c r="H22" s="467">
        <v>20</v>
      </c>
      <c r="I22" s="468"/>
      <c r="J22" s="468"/>
      <c r="K22" s="468">
        <v>20</v>
      </c>
      <c r="L22" s="468">
        <v>0</v>
      </c>
      <c r="M22" s="468">
        <v>20</v>
      </c>
      <c r="N22" s="469">
        <v>0</v>
      </c>
      <c r="O22" s="468">
        <v>20</v>
      </c>
      <c r="P22" s="469">
        <v>2</v>
      </c>
      <c r="Q22" s="468">
        <v>20</v>
      </c>
      <c r="R22" s="470">
        <v>6</v>
      </c>
      <c r="S22" s="468">
        <v>20</v>
      </c>
      <c r="T22" s="449">
        <v>12</v>
      </c>
      <c r="U22" s="447">
        <v>20</v>
      </c>
      <c r="V22" s="447">
        <v>20</v>
      </c>
      <c r="W22" s="450">
        <f t="shared" si="53"/>
        <v>20</v>
      </c>
      <c r="X22" s="450">
        <f t="shared" si="54"/>
        <v>20</v>
      </c>
      <c r="Y22" s="450">
        <f t="shared" si="55"/>
        <v>20</v>
      </c>
      <c r="Z22" s="450">
        <f t="shared" ref="Z22:AA22" si="94">+U22</f>
        <v>20</v>
      </c>
      <c r="AA22" s="450">
        <f t="shared" si="94"/>
        <v>20</v>
      </c>
      <c r="AB22" s="447">
        <v>77</v>
      </c>
      <c r="AC22" s="447">
        <v>5</v>
      </c>
      <c r="AD22" s="447">
        <v>5</v>
      </c>
      <c r="AE22" s="447">
        <v>6</v>
      </c>
      <c r="AF22" s="447">
        <v>6</v>
      </c>
      <c r="AG22" s="447">
        <v>7</v>
      </c>
      <c r="AH22" s="447">
        <v>7</v>
      </c>
      <c r="AI22" s="447">
        <v>7</v>
      </c>
      <c r="AJ22" s="447">
        <v>7</v>
      </c>
      <c r="AK22" s="449">
        <v>7</v>
      </c>
      <c r="AL22" s="449">
        <v>7</v>
      </c>
      <c r="AM22" s="449">
        <v>7</v>
      </c>
      <c r="AN22" s="449">
        <f>+AN17</f>
        <v>7</v>
      </c>
      <c r="AO22" s="449">
        <v>7</v>
      </c>
      <c r="AP22" s="449">
        <v>7</v>
      </c>
      <c r="AQ22" s="449">
        <v>7</v>
      </c>
      <c r="AR22" s="449">
        <v>7</v>
      </c>
      <c r="AS22" s="449">
        <v>7</v>
      </c>
      <c r="AT22" s="449">
        <v>7</v>
      </c>
      <c r="AU22" s="449">
        <v>6</v>
      </c>
      <c r="AV22" s="449">
        <v>7</v>
      </c>
      <c r="AW22" s="449">
        <v>6</v>
      </c>
      <c r="AX22" s="449">
        <v>5</v>
      </c>
      <c r="AY22" s="449">
        <v>5</v>
      </c>
      <c r="AZ22" s="449">
        <v>6</v>
      </c>
      <c r="BA22" s="450">
        <f t="shared" si="57"/>
        <v>77</v>
      </c>
      <c r="BB22" s="450">
        <f t="shared" si="58"/>
        <v>77</v>
      </c>
      <c r="BC22" s="450">
        <f t="shared" si="59"/>
        <v>78</v>
      </c>
      <c r="BD22" s="450">
        <f t="shared" si="60"/>
        <v>77</v>
      </c>
      <c r="BE22" s="450">
        <f t="shared" si="61"/>
        <v>78</v>
      </c>
      <c r="BF22" s="449">
        <v>100</v>
      </c>
      <c r="BG22" s="449">
        <f t="shared" ref="BG22:CD22" si="95">+BG17</f>
        <v>0</v>
      </c>
      <c r="BH22" s="449">
        <f t="shared" si="95"/>
        <v>0</v>
      </c>
      <c r="BI22" s="449">
        <f t="shared" si="95"/>
        <v>10</v>
      </c>
      <c r="BJ22" s="449">
        <f t="shared" si="95"/>
        <v>10</v>
      </c>
      <c r="BK22" s="449">
        <f t="shared" si="95"/>
        <v>9</v>
      </c>
      <c r="BL22" s="449">
        <f t="shared" si="95"/>
        <v>10</v>
      </c>
      <c r="BM22" s="449">
        <f t="shared" si="95"/>
        <v>9</v>
      </c>
      <c r="BN22" s="449">
        <f t="shared" si="95"/>
        <v>10</v>
      </c>
      <c r="BO22" s="449">
        <f t="shared" si="95"/>
        <v>9</v>
      </c>
      <c r="BP22" s="449">
        <f t="shared" si="95"/>
        <v>10</v>
      </c>
      <c r="BQ22" s="449">
        <f t="shared" si="95"/>
        <v>9</v>
      </c>
      <c r="BR22" s="449">
        <f t="shared" si="95"/>
        <v>10</v>
      </c>
      <c r="BS22" s="449">
        <f t="shared" si="95"/>
        <v>9</v>
      </c>
      <c r="BT22" s="449">
        <f t="shared" si="95"/>
        <v>10</v>
      </c>
      <c r="BU22" s="449">
        <f t="shared" si="95"/>
        <v>9</v>
      </c>
      <c r="BV22" s="449">
        <f t="shared" si="95"/>
        <v>10</v>
      </c>
      <c r="BW22" s="449">
        <f t="shared" si="95"/>
        <v>9</v>
      </c>
      <c r="BX22" s="449">
        <f t="shared" si="95"/>
        <v>10</v>
      </c>
      <c r="BY22" s="449">
        <f t="shared" si="95"/>
        <v>9</v>
      </c>
      <c r="BZ22" s="449">
        <f t="shared" si="95"/>
        <v>10</v>
      </c>
      <c r="CA22" s="449">
        <f t="shared" si="95"/>
        <v>9</v>
      </c>
      <c r="CB22" s="449">
        <f t="shared" si="95"/>
        <v>9</v>
      </c>
      <c r="CC22" s="449">
        <f t="shared" si="95"/>
        <v>18</v>
      </c>
      <c r="CD22" s="449">
        <f t="shared" si="95"/>
        <v>10</v>
      </c>
      <c r="CE22" s="450">
        <f t="shared" si="62"/>
        <v>109</v>
      </c>
      <c r="CF22" s="450">
        <f t="shared" si="63"/>
        <v>109</v>
      </c>
      <c r="CG22" s="450">
        <f t="shared" si="64"/>
        <v>109</v>
      </c>
      <c r="CH22" s="450">
        <f t="shared" si="65"/>
        <v>109</v>
      </c>
      <c r="CI22" s="450">
        <f t="shared" si="66"/>
        <v>109</v>
      </c>
      <c r="CJ22" s="449">
        <v>140</v>
      </c>
      <c r="CK22" s="449">
        <f t="shared" ref="CK22:DH22" si="96">+CK17</f>
        <v>0</v>
      </c>
      <c r="CL22" s="449">
        <f t="shared" si="96"/>
        <v>0</v>
      </c>
      <c r="CM22" s="449">
        <f t="shared" si="96"/>
        <v>13</v>
      </c>
      <c r="CN22" s="449">
        <f t="shared" si="96"/>
        <v>13</v>
      </c>
      <c r="CO22" s="449">
        <f t="shared" si="96"/>
        <v>13</v>
      </c>
      <c r="CP22" s="449">
        <f t="shared" si="96"/>
        <v>13</v>
      </c>
      <c r="CQ22" s="449">
        <f t="shared" si="96"/>
        <v>13</v>
      </c>
      <c r="CR22" s="449">
        <f t="shared" si="96"/>
        <v>13</v>
      </c>
      <c r="CS22" s="449">
        <f t="shared" si="96"/>
        <v>13</v>
      </c>
      <c r="CT22" s="449">
        <f t="shared" si="96"/>
        <v>13</v>
      </c>
      <c r="CU22" s="449">
        <f t="shared" si="96"/>
        <v>13</v>
      </c>
      <c r="CV22" s="449">
        <f t="shared" si="96"/>
        <v>13</v>
      </c>
      <c r="CW22" s="449">
        <f t="shared" si="96"/>
        <v>13</v>
      </c>
      <c r="CX22" s="449">
        <f t="shared" si="96"/>
        <v>13</v>
      </c>
      <c r="CY22" s="449">
        <f t="shared" si="96"/>
        <v>13</v>
      </c>
      <c r="CZ22" s="449">
        <f t="shared" si="96"/>
        <v>13</v>
      </c>
      <c r="DA22" s="449">
        <f t="shared" si="96"/>
        <v>13</v>
      </c>
      <c r="DB22" s="449">
        <f t="shared" si="96"/>
        <v>13</v>
      </c>
      <c r="DC22" s="449">
        <f t="shared" si="96"/>
        <v>13</v>
      </c>
      <c r="DD22" s="449">
        <f t="shared" si="96"/>
        <v>13</v>
      </c>
      <c r="DE22" s="449">
        <f t="shared" si="96"/>
        <v>13</v>
      </c>
      <c r="DF22" s="449">
        <f t="shared" si="96"/>
        <v>10</v>
      </c>
      <c r="DG22" s="449">
        <f t="shared" si="96"/>
        <v>10</v>
      </c>
      <c r="DH22" s="449">
        <f t="shared" si="96"/>
        <v>10</v>
      </c>
      <c r="DI22" s="471">
        <f t="shared" si="67"/>
        <v>140</v>
      </c>
      <c r="DJ22" s="447">
        <f t="shared" ref="DJ22:DK22" si="97">CK22+CM22+CO22+CQ22+CS22+CU22+CW22+CY22+DA22+DC22+DE22+DG22</f>
        <v>140</v>
      </c>
      <c r="DK22" s="447">
        <f t="shared" si="97"/>
        <v>137</v>
      </c>
      <c r="DL22" s="471">
        <f t="shared" si="69"/>
        <v>140</v>
      </c>
      <c r="DM22" s="447">
        <f t="shared" si="70"/>
        <v>137</v>
      </c>
      <c r="DN22" s="447">
        <f>DN17</f>
        <v>53</v>
      </c>
      <c r="DO22" s="449"/>
      <c r="DP22" s="449"/>
      <c r="DQ22" s="449"/>
      <c r="DR22" s="449"/>
      <c r="DS22" s="449"/>
      <c r="DT22" s="449"/>
      <c r="DU22" s="449"/>
      <c r="DV22" s="449"/>
      <c r="DW22" s="449"/>
      <c r="DX22" s="449"/>
      <c r="DY22" s="449"/>
      <c r="DZ22" s="449"/>
      <c r="EA22" s="449"/>
      <c r="EB22" s="449"/>
      <c r="EC22" s="449"/>
      <c r="ED22" s="449"/>
      <c r="EE22" s="449"/>
      <c r="EF22" s="449"/>
      <c r="EG22" s="449"/>
      <c r="EH22" s="449"/>
      <c r="EI22" s="449"/>
      <c r="EJ22" s="449"/>
      <c r="EK22" s="449"/>
      <c r="EL22" s="449"/>
      <c r="EM22" s="449">
        <f t="shared" si="78"/>
        <v>0</v>
      </c>
      <c r="EN22" s="472">
        <f t="shared" ref="EN22:EO22" si="98">DO22+DQ22+DS22+DU22</f>
        <v>0</v>
      </c>
      <c r="EO22" s="472">
        <f t="shared" si="98"/>
        <v>0</v>
      </c>
      <c r="EP22" s="473">
        <f t="shared" si="88"/>
        <v>0</v>
      </c>
      <c r="EQ22" s="472"/>
      <c r="ER22" s="451">
        <f t="shared" si="23"/>
        <v>1</v>
      </c>
      <c r="ES22" s="451">
        <f t="shared" si="89"/>
        <v>0.97857142857142854</v>
      </c>
      <c r="ET22" s="452">
        <f t="shared" si="90"/>
        <v>0.97857142857142854</v>
      </c>
      <c r="EU22" s="452">
        <f t="shared" si="91"/>
        <v>0.9942196531791907</v>
      </c>
      <c r="EV22" s="421">
        <f t="shared" si="92"/>
        <v>0.86</v>
      </c>
      <c r="EW22" s="735"/>
      <c r="EX22" s="734"/>
      <c r="EY22" s="735"/>
      <c r="EZ22" s="735"/>
      <c r="FA22" s="735"/>
      <c r="FB22" s="770"/>
      <c r="FC22" s="89"/>
      <c r="FD22" s="90"/>
    </row>
    <row r="23" spans="1:160" ht="30" customHeight="1" thickBot="1" x14ac:dyDescent="0.3">
      <c r="A23" s="694"/>
      <c r="B23" s="733"/>
      <c r="C23" s="733"/>
      <c r="D23" s="733"/>
      <c r="E23" s="733"/>
      <c r="F23" s="86" t="s">
        <v>354</v>
      </c>
      <c r="G23" s="459">
        <f t="shared" si="93"/>
        <v>1076239471</v>
      </c>
      <c r="H23" s="460">
        <f t="shared" ref="H23:DN23" si="99">H18+H21</f>
        <v>151328000</v>
      </c>
      <c r="I23" s="460">
        <f t="shared" si="99"/>
        <v>0</v>
      </c>
      <c r="J23" s="460">
        <f t="shared" si="99"/>
        <v>0</v>
      </c>
      <c r="K23" s="460">
        <f t="shared" si="99"/>
        <v>151328000</v>
      </c>
      <c r="L23" s="460">
        <f t="shared" si="99"/>
        <v>0</v>
      </c>
      <c r="M23" s="460">
        <f t="shared" si="99"/>
        <v>142884000</v>
      </c>
      <c r="N23" s="460">
        <f t="shared" si="99"/>
        <v>71774000</v>
      </c>
      <c r="O23" s="460">
        <f t="shared" si="99"/>
        <v>142884000</v>
      </c>
      <c r="P23" s="460">
        <f t="shared" si="99"/>
        <v>71774000</v>
      </c>
      <c r="Q23" s="460">
        <f t="shared" si="99"/>
        <v>140462163</v>
      </c>
      <c r="R23" s="460">
        <f t="shared" si="99"/>
        <v>71774000</v>
      </c>
      <c r="S23" s="460">
        <f t="shared" si="99"/>
        <v>140462163</v>
      </c>
      <c r="T23" s="460">
        <f t="shared" si="99"/>
        <v>121774000</v>
      </c>
      <c r="U23" s="460">
        <f t="shared" si="99"/>
        <v>140462163</v>
      </c>
      <c r="V23" s="460">
        <f t="shared" si="99"/>
        <v>138662000</v>
      </c>
      <c r="W23" s="460">
        <f t="shared" si="99"/>
        <v>151328000</v>
      </c>
      <c r="X23" s="460">
        <f t="shared" si="99"/>
        <v>151328000</v>
      </c>
      <c r="Y23" s="460">
        <f t="shared" si="99"/>
        <v>138662000</v>
      </c>
      <c r="Z23" s="460">
        <f t="shared" si="99"/>
        <v>140462163</v>
      </c>
      <c r="AA23" s="460">
        <f t="shared" si="99"/>
        <v>138662000</v>
      </c>
      <c r="AB23" s="460">
        <f t="shared" si="99"/>
        <v>239988171</v>
      </c>
      <c r="AC23" s="460">
        <f t="shared" si="99"/>
        <v>0</v>
      </c>
      <c r="AD23" s="460">
        <f t="shared" si="99"/>
        <v>0</v>
      </c>
      <c r="AE23" s="460">
        <f t="shared" si="99"/>
        <v>149117343</v>
      </c>
      <c r="AF23" s="460">
        <f t="shared" si="99"/>
        <v>149117343</v>
      </c>
      <c r="AG23" s="460">
        <f t="shared" si="99"/>
        <v>61337828</v>
      </c>
      <c r="AH23" s="460">
        <f t="shared" si="99"/>
        <v>61337828</v>
      </c>
      <c r="AI23" s="460">
        <f t="shared" si="99"/>
        <v>0</v>
      </c>
      <c r="AJ23" s="460">
        <f t="shared" si="99"/>
        <v>0</v>
      </c>
      <c r="AK23" s="460">
        <f t="shared" si="99"/>
        <v>0</v>
      </c>
      <c r="AL23" s="460">
        <f t="shared" si="99"/>
        <v>0</v>
      </c>
      <c r="AM23" s="460">
        <f t="shared" si="99"/>
        <v>0</v>
      </c>
      <c r="AN23" s="460">
        <f t="shared" si="99"/>
        <v>0</v>
      </c>
      <c r="AO23" s="460">
        <f t="shared" si="99"/>
        <v>0</v>
      </c>
      <c r="AP23" s="460">
        <f t="shared" si="99"/>
        <v>0</v>
      </c>
      <c r="AQ23" s="460">
        <f t="shared" si="99"/>
        <v>0</v>
      </c>
      <c r="AR23" s="460">
        <f t="shared" si="99"/>
        <v>0</v>
      </c>
      <c r="AS23" s="460">
        <f t="shared" si="99"/>
        <v>4323000</v>
      </c>
      <c r="AT23" s="460">
        <f t="shared" si="99"/>
        <v>0</v>
      </c>
      <c r="AU23" s="460">
        <f t="shared" si="99"/>
        <v>0</v>
      </c>
      <c r="AV23" s="460">
        <f t="shared" si="99"/>
        <v>0</v>
      </c>
      <c r="AW23" s="460">
        <f t="shared" si="99"/>
        <v>0</v>
      </c>
      <c r="AX23" s="460">
        <f t="shared" si="99"/>
        <v>0</v>
      </c>
      <c r="AY23" s="460">
        <f t="shared" si="99"/>
        <v>0</v>
      </c>
      <c r="AZ23" s="460">
        <f t="shared" si="99"/>
        <v>4323000</v>
      </c>
      <c r="BA23" s="460">
        <f t="shared" si="99"/>
        <v>214778171</v>
      </c>
      <c r="BB23" s="460">
        <f t="shared" si="99"/>
        <v>214778171</v>
      </c>
      <c r="BC23" s="460">
        <f t="shared" si="99"/>
        <v>214778171</v>
      </c>
      <c r="BD23" s="460">
        <f t="shared" si="99"/>
        <v>214778171</v>
      </c>
      <c r="BE23" s="460">
        <f t="shared" si="99"/>
        <v>214778171</v>
      </c>
      <c r="BF23" s="460">
        <f t="shared" si="99"/>
        <v>149129700</v>
      </c>
      <c r="BG23" s="460">
        <f t="shared" si="99"/>
        <v>145527200</v>
      </c>
      <c r="BH23" s="460">
        <f t="shared" si="99"/>
        <v>145527200</v>
      </c>
      <c r="BI23" s="460">
        <f t="shared" si="99"/>
        <v>3602500</v>
      </c>
      <c r="BJ23" s="460">
        <f t="shared" si="99"/>
        <v>3602500</v>
      </c>
      <c r="BK23" s="460">
        <f t="shared" si="99"/>
        <v>0</v>
      </c>
      <c r="BL23" s="460">
        <f t="shared" si="99"/>
        <v>0</v>
      </c>
      <c r="BM23" s="460">
        <f t="shared" si="99"/>
        <v>0</v>
      </c>
      <c r="BN23" s="460">
        <f t="shared" si="99"/>
        <v>0</v>
      </c>
      <c r="BO23" s="460">
        <f t="shared" si="99"/>
        <v>0</v>
      </c>
      <c r="BP23" s="460">
        <f t="shared" si="99"/>
        <v>0</v>
      </c>
      <c r="BQ23" s="460">
        <f t="shared" si="99"/>
        <v>0</v>
      </c>
      <c r="BR23" s="460">
        <f t="shared" si="99"/>
        <v>0</v>
      </c>
      <c r="BS23" s="460">
        <f t="shared" si="99"/>
        <v>0</v>
      </c>
      <c r="BT23" s="460">
        <f t="shared" si="99"/>
        <v>0</v>
      </c>
      <c r="BU23" s="460">
        <f t="shared" si="99"/>
        <v>0</v>
      </c>
      <c r="BV23" s="460">
        <f t="shared" si="99"/>
        <v>0</v>
      </c>
      <c r="BW23" s="460">
        <f t="shared" si="99"/>
        <v>0</v>
      </c>
      <c r="BX23" s="460">
        <f t="shared" si="99"/>
        <v>0</v>
      </c>
      <c r="BY23" s="460">
        <f t="shared" si="99"/>
        <v>0</v>
      </c>
      <c r="BZ23" s="460">
        <f t="shared" si="99"/>
        <v>0</v>
      </c>
      <c r="CA23" s="460">
        <f t="shared" si="99"/>
        <v>8818000</v>
      </c>
      <c r="CB23" s="460">
        <f t="shared" si="99"/>
        <v>6613500</v>
      </c>
      <c r="CC23" s="460">
        <f t="shared" si="99"/>
        <v>0</v>
      </c>
      <c r="CD23" s="460">
        <f t="shared" si="99"/>
        <v>0</v>
      </c>
      <c r="CE23" s="460">
        <f t="shared" si="99"/>
        <v>157947700</v>
      </c>
      <c r="CF23" s="460">
        <f t="shared" si="99"/>
        <v>157947700</v>
      </c>
      <c r="CG23" s="460">
        <f t="shared" si="99"/>
        <v>155743200</v>
      </c>
      <c r="CH23" s="460">
        <f t="shared" si="99"/>
        <v>157947700</v>
      </c>
      <c r="CI23" s="460">
        <f t="shared" si="99"/>
        <v>155743200</v>
      </c>
      <c r="CJ23" s="460">
        <f t="shared" si="99"/>
        <v>188874100</v>
      </c>
      <c r="CK23" s="460">
        <f t="shared" si="99"/>
        <v>8377100</v>
      </c>
      <c r="CL23" s="460">
        <f t="shared" si="99"/>
        <v>8377100</v>
      </c>
      <c r="CM23" s="460">
        <f t="shared" si="99"/>
        <v>44090000</v>
      </c>
      <c r="CN23" s="460">
        <f t="shared" si="99"/>
        <v>44090000</v>
      </c>
      <c r="CO23" s="460">
        <f t="shared" si="99"/>
        <v>88180000</v>
      </c>
      <c r="CP23" s="460">
        <f t="shared" si="99"/>
        <v>88180000</v>
      </c>
      <c r="CQ23" s="460">
        <f t="shared" si="99"/>
        <v>0</v>
      </c>
      <c r="CR23" s="460">
        <f t="shared" si="99"/>
        <v>0</v>
      </c>
      <c r="CS23" s="460">
        <f t="shared" si="99"/>
        <v>35000000</v>
      </c>
      <c r="CT23" s="460">
        <f t="shared" si="99"/>
        <v>0</v>
      </c>
      <c r="CU23" s="460">
        <f t="shared" si="99"/>
        <v>0</v>
      </c>
      <c r="CV23" s="460">
        <f t="shared" si="99"/>
        <v>0</v>
      </c>
      <c r="CW23" s="460">
        <f t="shared" si="99"/>
        <v>-8818000</v>
      </c>
      <c r="CX23" s="460">
        <f t="shared" si="99"/>
        <v>0</v>
      </c>
      <c r="CY23" s="460">
        <f t="shared" si="99"/>
        <v>0</v>
      </c>
      <c r="CZ23" s="460">
        <f t="shared" si="99"/>
        <v>0</v>
      </c>
      <c r="DA23" s="460">
        <f t="shared" si="99"/>
        <v>0</v>
      </c>
      <c r="DB23" s="460">
        <f t="shared" si="99"/>
        <v>0</v>
      </c>
      <c r="DC23" s="460">
        <f t="shared" si="99"/>
        <v>0</v>
      </c>
      <c r="DD23" s="460">
        <f t="shared" si="99"/>
        <v>0</v>
      </c>
      <c r="DE23" s="460">
        <f t="shared" si="99"/>
        <v>0</v>
      </c>
      <c r="DF23" s="460">
        <f t="shared" si="99"/>
        <v>0</v>
      </c>
      <c r="DG23" s="460">
        <f t="shared" si="99"/>
        <v>13227000</v>
      </c>
      <c r="DH23" s="460">
        <f t="shared" si="99"/>
        <v>22409000</v>
      </c>
      <c r="DI23" s="460">
        <f t="shared" si="99"/>
        <v>180056100</v>
      </c>
      <c r="DJ23" s="460">
        <f t="shared" si="99"/>
        <v>180056100</v>
      </c>
      <c r="DK23" s="460">
        <f t="shared" si="99"/>
        <v>163056100</v>
      </c>
      <c r="DL23" s="460">
        <f t="shared" si="99"/>
        <v>180056100</v>
      </c>
      <c r="DM23" s="460">
        <f t="shared" si="99"/>
        <v>163056100</v>
      </c>
      <c r="DN23" s="460">
        <f t="shared" si="99"/>
        <v>387000000</v>
      </c>
      <c r="DO23" s="461"/>
      <c r="DP23" s="461"/>
      <c r="DQ23" s="461"/>
      <c r="DR23" s="461"/>
      <c r="DS23" s="461"/>
      <c r="DT23" s="461"/>
      <c r="DU23" s="461"/>
      <c r="DV23" s="461"/>
      <c r="DW23" s="461"/>
      <c r="DX23" s="461"/>
      <c r="DY23" s="461"/>
      <c r="DZ23" s="461"/>
      <c r="EA23" s="461"/>
      <c r="EB23" s="461"/>
      <c r="EC23" s="461"/>
      <c r="ED23" s="461"/>
      <c r="EE23" s="461"/>
      <c r="EF23" s="461"/>
      <c r="EG23" s="461"/>
      <c r="EH23" s="461"/>
      <c r="EI23" s="461"/>
      <c r="EJ23" s="461"/>
      <c r="EK23" s="461"/>
      <c r="EL23" s="461"/>
      <c r="EM23" s="462">
        <f t="shared" ref="EM23:EM25" si="100">EK23+EI23+EG23+EE23+EC23+EA23+DY23+DW23+DU23+DS23+DQ23+DO23</f>
        <v>0</v>
      </c>
      <c r="EN23" s="463">
        <f>+EN18+EN21</f>
        <v>0</v>
      </c>
      <c r="EO23" s="463">
        <f>EO18+EO21</f>
        <v>0</v>
      </c>
      <c r="EP23" s="463">
        <f>+EP18+EP21</f>
        <v>0</v>
      </c>
      <c r="EQ23" s="463"/>
      <c r="ER23" s="464">
        <f t="shared" si="23"/>
        <v>1.6941861344220155</v>
      </c>
      <c r="ES23" s="464">
        <f t="shared" si="89"/>
        <v>0.90558498156963307</v>
      </c>
      <c r="ET23" s="465">
        <f t="shared" si="90"/>
        <v>0.90558498156963307</v>
      </c>
      <c r="EU23" s="465">
        <f t="shared" si="91"/>
        <v>0.96970091491607202</v>
      </c>
      <c r="EV23" s="466">
        <f t="shared" si="92"/>
        <v>0.62461885956977692</v>
      </c>
      <c r="EW23" s="768"/>
      <c r="EX23" s="734"/>
      <c r="EY23" s="735"/>
      <c r="EZ23" s="735"/>
      <c r="FA23" s="735"/>
      <c r="FB23" s="770"/>
      <c r="FC23" s="91"/>
      <c r="FD23" s="91"/>
    </row>
    <row r="24" spans="1:160" ht="30" customHeight="1" x14ac:dyDescent="0.25">
      <c r="A24" s="694"/>
      <c r="B24" s="747">
        <v>3</v>
      </c>
      <c r="C24" s="732" t="s">
        <v>358</v>
      </c>
      <c r="D24" s="748" t="s">
        <v>177</v>
      </c>
      <c r="E24" s="732">
        <v>201</v>
      </c>
      <c r="F24" s="78" t="s">
        <v>345</v>
      </c>
      <c r="G24" s="426">
        <f t="shared" ref="G24:G25" si="101">AA24+BE24+CI24+DL24+DN24</f>
        <v>20000</v>
      </c>
      <c r="H24" s="474">
        <v>2500</v>
      </c>
      <c r="I24" s="431"/>
      <c r="J24" s="431"/>
      <c r="K24" s="431">
        <v>2500</v>
      </c>
      <c r="L24" s="426">
        <v>0</v>
      </c>
      <c r="M24" s="431">
        <v>2500</v>
      </c>
      <c r="N24" s="436">
        <v>741</v>
      </c>
      <c r="O24" s="431">
        <v>2500</v>
      </c>
      <c r="P24" s="436">
        <v>1257</v>
      </c>
      <c r="Q24" s="431">
        <v>2500</v>
      </c>
      <c r="R24" s="437">
        <v>1908</v>
      </c>
      <c r="S24" s="431">
        <v>2500</v>
      </c>
      <c r="T24" s="454">
        <v>2210</v>
      </c>
      <c r="U24" s="431">
        <v>2500</v>
      </c>
      <c r="V24" s="431">
        <v>2500</v>
      </c>
      <c r="W24" s="455">
        <f t="shared" ref="W24:W29" si="102">+H24</f>
        <v>2500</v>
      </c>
      <c r="X24" s="455">
        <f t="shared" ref="X24:X29" si="103">+H24</f>
        <v>2500</v>
      </c>
      <c r="Y24" s="455">
        <f t="shared" ref="Y24:Y29" si="104">+V24</f>
        <v>2500</v>
      </c>
      <c r="Z24" s="455">
        <f t="shared" ref="Z24:AA24" si="105">+U24</f>
        <v>2500</v>
      </c>
      <c r="AA24" s="455">
        <f t="shared" si="105"/>
        <v>2500</v>
      </c>
      <c r="AB24" s="426">
        <v>3500</v>
      </c>
      <c r="AC24" s="426">
        <v>246</v>
      </c>
      <c r="AD24" s="426">
        <v>246</v>
      </c>
      <c r="AE24" s="431">
        <v>301</v>
      </c>
      <c r="AF24" s="436">
        <v>301</v>
      </c>
      <c r="AG24" s="431">
        <v>296</v>
      </c>
      <c r="AH24" s="436">
        <v>296</v>
      </c>
      <c r="AI24" s="436">
        <v>300</v>
      </c>
      <c r="AJ24" s="436">
        <v>300</v>
      </c>
      <c r="AK24" s="436">
        <v>320</v>
      </c>
      <c r="AL24" s="436">
        <v>320</v>
      </c>
      <c r="AM24" s="436">
        <v>297</v>
      </c>
      <c r="AN24" s="436">
        <v>297</v>
      </c>
      <c r="AO24" s="436">
        <v>290</v>
      </c>
      <c r="AP24" s="436">
        <v>293</v>
      </c>
      <c r="AQ24" s="436">
        <v>290</v>
      </c>
      <c r="AR24" s="436">
        <v>311</v>
      </c>
      <c r="AS24" s="436">
        <v>290</v>
      </c>
      <c r="AT24" s="436">
        <v>295</v>
      </c>
      <c r="AU24" s="436">
        <v>290</v>
      </c>
      <c r="AV24" s="436">
        <v>292</v>
      </c>
      <c r="AW24" s="436">
        <v>290</v>
      </c>
      <c r="AX24" s="436">
        <v>291</v>
      </c>
      <c r="AY24" s="436">
        <v>290</v>
      </c>
      <c r="AZ24" s="436">
        <v>298</v>
      </c>
      <c r="BA24" s="455">
        <f t="shared" ref="BA24:BA29" si="106">AY24+AW24+AU24+AS24+AO24+AM24+AK24+AI24+AG24+AE24+AC24+AQ24</f>
        <v>3500</v>
      </c>
      <c r="BB24" s="455">
        <f t="shared" ref="BB24:BB29" si="107">AC24+AE24+AG24+AI24+AK24+AM24+AO24+AQ24+AS24+AU24+AW24+AY24</f>
        <v>3500</v>
      </c>
      <c r="BC24" s="455">
        <f t="shared" ref="BC24:BC29" si="108">+AN24+AD24+AF24+AH24+AJ24+AL24+AP24+AR24+AT24+AV24+AX24+AZ24</f>
        <v>3540</v>
      </c>
      <c r="BD24" s="455">
        <f t="shared" ref="BD24:BD29" si="109">BA24</f>
        <v>3500</v>
      </c>
      <c r="BE24" s="455">
        <f t="shared" ref="BE24:BE29" si="110">AF24+AH24+AJ24+AL24+AD24+AN24+AP24+AR24+AT24+AV24+AX24+AZ24</f>
        <v>3540</v>
      </c>
      <c r="BF24" s="431">
        <v>5000</v>
      </c>
      <c r="BG24" s="436">
        <v>40</v>
      </c>
      <c r="BH24" s="436">
        <v>40</v>
      </c>
      <c r="BI24" s="431">
        <v>460</v>
      </c>
      <c r="BJ24" s="431">
        <v>464</v>
      </c>
      <c r="BK24" s="431">
        <v>450</v>
      </c>
      <c r="BL24" s="431">
        <v>452</v>
      </c>
      <c r="BM24" s="431">
        <v>450</v>
      </c>
      <c r="BN24" s="431">
        <v>448</v>
      </c>
      <c r="BO24" s="431">
        <v>450</v>
      </c>
      <c r="BP24" s="431">
        <v>457</v>
      </c>
      <c r="BQ24" s="431">
        <v>450</v>
      </c>
      <c r="BR24" s="431">
        <v>451</v>
      </c>
      <c r="BS24" s="431">
        <v>450</v>
      </c>
      <c r="BT24" s="431">
        <v>455</v>
      </c>
      <c r="BU24" s="431">
        <v>450</v>
      </c>
      <c r="BV24" s="431">
        <v>475</v>
      </c>
      <c r="BW24" s="431">
        <v>450</v>
      </c>
      <c r="BX24" s="431">
        <v>460</v>
      </c>
      <c r="BY24" s="431">
        <v>450</v>
      </c>
      <c r="BZ24" s="431">
        <v>450</v>
      </c>
      <c r="CA24" s="431">
        <v>450</v>
      </c>
      <c r="CB24" s="431">
        <v>450</v>
      </c>
      <c r="CC24" s="436">
        <f>450+62</f>
        <v>512</v>
      </c>
      <c r="CD24" s="431">
        <v>460</v>
      </c>
      <c r="CE24" s="455">
        <f t="shared" ref="CE24:CE29" si="111">CC24+CA24+BY24+BW24+BS24+BQ24+BO24+BM24+BK24+BI24+BG24+BU24</f>
        <v>5062</v>
      </c>
      <c r="CF24" s="455">
        <f t="shared" ref="CF24:CF29" si="112">+BG24+BI24+BK24+BM24+BO24+BQ24+BS24+BU24+BW24+BY24+CA24+CC24</f>
        <v>5062</v>
      </c>
      <c r="CG24" s="455">
        <f t="shared" ref="CG24:CG29" si="113">+BR24+BH24+BJ24+BL24+BN24+BP24+BT24+BV24+BX24+BZ24+CB24+CD24</f>
        <v>5062</v>
      </c>
      <c r="CH24" s="455">
        <f t="shared" ref="CH24:CH29" si="114">CE24</f>
        <v>5062</v>
      </c>
      <c r="CI24" s="455">
        <f t="shared" ref="CI24:CI29" si="115">BJ24+BL24+BN24+BP24+BH24+BR24+BT24+BV24+BX24+BZ24+CB24+CD24</f>
        <v>5062</v>
      </c>
      <c r="CJ24" s="431">
        <v>6000</v>
      </c>
      <c r="CK24" s="431">
        <v>0</v>
      </c>
      <c r="CL24" s="431"/>
      <c r="CM24" s="431">
        <v>575</v>
      </c>
      <c r="CN24" s="431">
        <v>600</v>
      </c>
      <c r="CO24" s="431">
        <v>575</v>
      </c>
      <c r="CP24" s="431">
        <v>650</v>
      </c>
      <c r="CQ24" s="431">
        <v>575</v>
      </c>
      <c r="CR24" s="431">
        <v>600</v>
      </c>
      <c r="CS24" s="431">
        <v>575</v>
      </c>
      <c r="CT24" s="431">
        <v>600</v>
      </c>
      <c r="CU24" s="431">
        <v>575</v>
      </c>
      <c r="CV24" s="431">
        <v>615</v>
      </c>
      <c r="CW24" s="431">
        <v>575</v>
      </c>
      <c r="CX24" s="431">
        <v>575</v>
      </c>
      <c r="CY24" s="431">
        <v>575</v>
      </c>
      <c r="CZ24" s="431">
        <v>671</v>
      </c>
      <c r="DA24" s="431">
        <v>575</v>
      </c>
      <c r="DB24" s="431">
        <v>585</v>
      </c>
      <c r="DC24" s="431">
        <v>575</v>
      </c>
      <c r="DD24" s="431">
        <v>611</v>
      </c>
      <c r="DE24" s="431">
        <v>575</v>
      </c>
      <c r="DF24" s="431">
        <v>223</v>
      </c>
      <c r="DG24" s="431">
        <v>250</v>
      </c>
      <c r="DH24" s="431">
        <f>192</f>
        <v>192</v>
      </c>
      <c r="DI24" s="426">
        <f t="shared" ref="DI24:DI29" si="116">DG24+DE24+DC24+DA24+CY24+CW24+CU24+CS24+CQ24+CO24+CM24+CK24</f>
        <v>6000</v>
      </c>
      <c r="DJ24" s="426">
        <f t="shared" ref="DJ24" si="117">CK24+CM24+CO24+CQ24+CS24+CU24+CW24+CY24+DA24+DC24+DE24+DG24</f>
        <v>6000</v>
      </c>
      <c r="DK24" s="426">
        <f>CL24+CN24+CP24+CR24+CT24+CV24+CX24+CZ24+DB24+DD24+DF24+DH24</f>
        <v>5922</v>
      </c>
      <c r="DL24" s="426">
        <f t="shared" ref="DL24:DL29" si="118">DI24</f>
        <v>6000</v>
      </c>
      <c r="DM24" s="426">
        <f t="shared" ref="DM24:DM29" si="119">CN24+CP24+CR24+CT24+CL24+CV24+CX24+CZ24+DB24+DD24+DF24+DH24</f>
        <v>5922</v>
      </c>
      <c r="DN24" s="431">
        <f>3000-102</f>
        <v>2898</v>
      </c>
      <c r="DO24" s="431"/>
      <c r="DP24" s="431"/>
      <c r="DQ24" s="431"/>
      <c r="DR24" s="431"/>
      <c r="DS24" s="431"/>
      <c r="DT24" s="431"/>
      <c r="DU24" s="431"/>
      <c r="DV24" s="431"/>
      <c r="DW24" s="431"/>
      <c r="DX24" s="431"/>
      <c r="DY24" s="431"/>
      <c r="DZ24" s="431"/>
      <c r="EA24" s="431"/>
      <c r="EB24" s="431"/>
      <c r="EC24" s="431"/>
      <c r="ED24" s="431"/>
      <c r="EE24" s="431"/>
      <c r="EF24" s="431"/>
      <c r="EG24" s="431"/>
      <c r="EH24" s="431"/>
      <c r="EI24" s="431"/>
      <c r="EJ24" s="431"/>
      <c r="EK24" s="431"/>
      <c r="EL24" s="431"/>
      <c r="EM24" s="426">
        <f t="shared" si="100"/>
        <v>0</v>
      </c>
      <c r="EN24" s="426">
        <f t="shared" ref="EN24:EO24" si="120">DO24+DQ24+DS24+DU24</f>
        <v>0</v>
      </c>
      <c r="EO24" s="454">
        <f t="shared" si="120"/>
        <v>0</v>
      </c>
      <c r="EP24" s="456">
        <f t="shared" ref="EP24:EP25" si="121">DQ24+DS24+DU24+DW24+DY24+EA24+EC24+EE24+EG24+EI24+EK24+DO24</f>
        <v>0</v>
      </c>
      <c r="EQ24" s="454"/>
      <c r="ER24" s="457">
        <f t="shared" si="23"/>
        <v>0.76800000000000002</v>
      </c>
      <c r="ES24" s="457">
        <f t="shared" si="89"/>
        <v>0.98699999999999999</v>
      </c>
      <c r="ET24" s="458">
        <f t="shared" si="90"/>
        <v>0.98699999999999999</v>
      </c>
      <c r="EU24" s="458">
        <f t="shared" si="91"/>
        <v>0.99777282850779514</v>
      </c>
      <c r="EV24" s="427">
        <f t="shared" si="92"/>
        <v>0.85119999999999996</v>
      </c>
      <c r="EW24" s="767" t="s">
        <v>359</v>
      </c>
      <c r="EX24" s="734" t="s">
        <v>1353</v>
      </c>
      <c r="EY24" s="734" t="s">
        <v>1354</v>
      </c>
      <c r="EZ24" s="734" t="s">
        <v>360</v>
      </c>
      <c r="FA24" s="734" t="s">
        <v>348</v>
      </c>
      <c r="FB24" s="769"/>
      <c r="FC24" s="88"/>
      <c r="FD24" s="88"/>
    </row>
    <row r="25" spans="1:160" ht="30" customHeight="1" x14ac:dyDescent="0.25">
      <c r="A25" s="694"/>
      <c r="B25" s="694"/>
      <c r="C25" s="694"/>
      <c r="D25" s="694"/>
      <c r="E25" s="694"/>
      <c r="F25" s="81" t="s">
        <v>349</v>
      </c>
      <c r="G25" s="410">
        <f t="shared" si="101"/>
        <v>183990600</v>
      </c>
      <c r="H25" s="414">
        <v>24546000</v>
      </c>
      <c r="I25" s="411"/>
      <c r="J25" s="411"/>
      <c r="K25" s="411">
        <v>24546000</v>
      </c>
      <c r="L25" s="411">
        <v>0</v>
      </c>
      <c r="M25" s="411">
        <v>24546000</v>
      </c>
      <c r="N25" s="411">
        <v>10624000</v>
      </c>
      <c r="O25" s="411">
        <v>24546000</v>
      </c>
      <c r="P25" s="411">
        <v>10624000</v>
      </c>
      <c r="Q25" s="411">
        <v>13280000</v>
      </c>
      <c r="R25" s="411">
        <v>10624000</v>
      </c>
      <c r="S25" s="411">
        <v>13280000</v>
      </c>
      <c r="T25" s="420">
        <v>10624000</v>
      </c>
      <c r="U25" s="432">
        <v>13280000</v>
      </c>
      <c r="V25" s="432">
        <v>13280000</v>
      </c>
      <c r="W25" s="406">
        <f t="shared" si="102"/>
        <v>24546000</v>
      </c>
      <c r="X25" s="406">
        <f t="shared" si="103"/>
        <v>24546000</v>
      </c>
      <c r="Y25" s="406">
        <f t="shared" si="104"/>
        <v>13280000</v>
      </c>
      <c r="Z25" s="410">
        <f t="shared" ref="Z25:AA25" si="122">+U25</f>
        <v>13280000</v>
      </c>
      <c r="AA25" s="410">
        <f t="shared" si="122"/>
        <v>13280000</v>
      </c>
      <c r="AB25" s="410">
        <v>34285000</v>
      </c>
      <c r="AC25" s="410">
        <v>0</v>
      </c>
      <c r="AD25" s="410">
        <v>0</v>
      </c>
      <c r="AE25" s="410">
        <v>27200000</v>
      </c>
      <c r="AF25" s="410">
        <v>27200000</v>
      </c>
      <c r="AG25" s="410">
        <v>0</v>
      </c>
      <c r="AH25" s="410">
        <v>0</v>
      </c>
      <c r="AI25" s="410">
        <v>0</v>
      </c>
      <c r="AJ25" s="410">
        <v>0</v>
      </c>
      <c r="AK25" s="410">
        <v>0</v>
      </c>
      <c r="AL25" s="410">
        <v>0</v>
      </c>
      <c r="AM25" s="410">
        <v>0</v>
      </c>
      <c r="AN25" s="410">
        <v>0</v>
      </c>
      <c r="AO25" s="410">
        <v>0</v>
      </c>
      <c r="AP25" s="410">
        <v>0</v>
      </c>
      <c r="AQ25" s="410">
        <v>0</v>
      </c>
      <c r="AR25" s="410">
        <v>0</v>
      </c>
      <c r="AS25" s="410">
        <v>2720000</v>
      </c>
      <c r="AT25" s="410">
        <v>0</v>
      </c>
      <c r="AU25" s="410">
        <v>0</v>
      </c>
      <c r="AV25" s="410">
        <v>0</v>
      </c>
      <c r="AW25" s="410">
        <v>0</v>
      </c>
      <c r="AX25" s="410">
        <v>0</v>
      </c>
      <c r="AY25" s="410">
        <v>0</v>
      </c>
      <c r="AZ25" s="410">
        <v>2720000</v>
      </c>
      <c r="BA25" s="410">
        <f t="shared" si="106"/>
        <v>29920000</v>
      </c>
      <c r="BB25" s="410">
        <f t="shared" si="107"/>
        <v>29920000</v>
      </c>
      <c r="BC25" s="410">
        <f t="shared" si="108"/>
        <v>29920000</v>
      </c>
      <c r="BD25" s="410">
        <f t="shared" si="109"/>
        <v>29920000</v>
      </c>
      <c r="BE25" s="410">
        <f t="shared" si="110"/>
        <v>29920000</v>
      </c>
      <c r="BF25" s="410">
        <v>30100000</v>
      </c>
      <c r="BG25" s="410">
        <v>30100000</v>
      </c>
      <c r="BH25" s="410">
        <v>30100000</v>
      </c>
      <c r="BI25" s="410">
        <v>0</v>
      </c>
      <c r="BJ25" s="410">
        <v>0</v>
      </c>
      <c r="BK25" s="410">
        <v>0</v>
      </c>
      <c r="BL25" s="410">
        <v>0</v>
      </c>
      <c r="BM25" s="410">
        <v>0</v>
      </c>
      <c r="BN25" s="410">
        <v>0</v>
      </c>
      <c r="BO25" s="410">
        <v>0</v>
      </c>
      <c r="BP25" s="410">
        <v>0</v>
      </c>
      <c r="BQ25" s="410">
        <v>835200</v>
      </c>
      <c r="BR25" s="410">
        <v>0</v>
      </c>
      <c r="BS25" s="410">
        <v>-417600</v>
      </c>
      <c r="BT25" s="410">
        <v>0</v>
      </c>
      <c r="BU25" s="410">
        <v>0</v>
      </c>
      <c r="BV25" s="410">
        <v>0</v>
      </c>
      <c r="BW25" s="410">
        <v>0</v>
      </c>
      <c r="BX25" s="410">
        <v>417600</v>
      </c>
      <c r="BY25" s="410">
        <v>0</v>
      </c>
      <c r="BZ25" s="410">
        <v>0</v>
      </c>
      <c r="CA25" s="410">
        <v>3010000</v>
      </c>
      <c r="CB25" s="410">
        <v>3010000</v>
      </c>
      <c r="CC25" s="410">
        <v>0</v>
      </c>
      <c r="CD25" s="410">
        <v>0</v>
      </c>
      <c r="CE25" s="410">
        <f t="shared" si="111"/>
        <v>33527600</v>
      </c>
      <c r="CF25" s="410">
        <f t="shared" si="112"/>
        <v>33527600</v>
      </c>
      <c r="CG25" s="410">
        <f t="shared" si="113"/>
        <v>33527600</v>
      </c>
      <c r="CH25" s="410">
        <f t="shared" si="114"/>
        <v>33527600</v>
      </c>
      <c r="CI25" s="410">
        <f t="shared" si="115"/>
        <v>33527600</v>
      </c>
      <c r="CJ25" s="410">
        <v>33110000</v>
      </c>
      <c r="CK25" s="410">
        <v>0</v>
      </c>
      <c r="CL25" s="410"/>
      <c r="CM25" s="410">
        <v>33110000</v>
      </c>
      <c r="CN25" s="410">
        <v>33110000</v>
      </c>
      <c r="CO25" s="410"/>
      <c r="CP25" s="410"/>
      <c r="CQ25" s="410">
        <v>0</v>
      </c>
      <c r="CR25" s="410">
        <v>0</v>
      </c>
      <c r="CS25" s="410"/>
      <c r="CT25" s="410">
        <v>0</v>
      </c>
      <c r="CU25" s="410"/>
      <c r="CV25" s="410"/>
      <c r="CW25" s="410">
        <v>3010000</v>
      </c>
      <c r="CX25" s="410"/>
      <c r="CY25" s="410"/>
      <c r="CZ25" s="410">
        <v>0</v>
      </c>
      <c r="DA25" s="410"/>
      <c r="DB25" s="410"/>
      <c r="DC25" s="410"/>
      <c r="DD25" s="410"/>
      <c r="DE25" s="410"/>
      <c r="DF25" s="410"/>
      <c r="DG25" s="410"/>
      <c r="DH25" s="410">
        <v>3010000</v>
      </c>
      <c r="DI25" s="410">
        <f t="shared" si="116"/>
        <v>36120000</v>
      </c>
      <c r="DJ25" s="410">
        <f t="shared" ref="DJ25:DK25" si="123">CK25+CM25+CO25+CQ25+CS25+CU25+CW25+CY25+DA25+DC25+DE25+DG25</f>
        <v>36120000</v>
      </c>
      <c r="DK25" s="410">
        <f t="shared" si="123"/>
        <v>36120000</v>
      </c>
      <c r="DL25" s="433">
        <f t="shared" si="118"/>
        <v>36120000</v>
      </c>
      <c r="DM25" s="410">
        <f t="shared" si="119"/>
        <v>36120000</v>
      </c>
      <c r="DN25" s="433">
        <v>71143000</v>
      </c>
      <c r="DO25" s="411"/>
      <c r="DP25" s="411"/>
      <c r="DQ25" s="411"/>
      <c r="DR25" s="411"/>
      <c r="DS25" s="411"/>
      <c r="DT25" s="411"/>
      <c r="DU25" s="411"/>
      <c r="DV25" s="411"/>
      <c r="DW25" s="411"/>
      <c r="DX25" s="411"/>
      <c r="DY25" s="411"/>
      <c r="DZ25" s="411"/>
      <c r="EA25" s="411"/>
      <c r="EB25" s="411"/>
      <c r="EC25" s="411"/>
      <c r="ED25" s="411"/>
      <c r="EE25" s="411"/>
      <c r="EF25" s="411"/>
      <c r="EG25" s="411"/>
      <c r="EH25" s="411"/>
      <c r="EI25" s="411"/>
      <c r="EJ25" s="411"/>
      <c r="EK25" s="411"/>
      <c r="EL25" s="411"/>
      <c r="EM25" s="402">
        <f t="shared" si="100"/>
        <v>0</v>
      </c>
      <c r="EN25" s="413">
        <f t="shared" ref="EN25:EO25" si="124">DO25+DQ25+DS25+DU25</f>
        <v>0</v>
      </c>
      <c r="EO25" s="413">
        <f t="shared" si="124"/>
        <v>0</v>
      </c>
      <c r="EP25" s="410">
        <f t="shared" si="121"/>
        <v>0</v>
      </c>
      <c r="EQ25" s="413"/>
      <c r="ER25" s="407">
        <f>IFERROR(DH25/DG25,0)</f>
        <v>0</v>
      </c>
      <c r="ES25" s="407">
        <f t="shared" si="89"/>
        <v>1</v>
      </c>
      <c r="ET25" s="408">
        <f t="shared" si="90"/>
        <v>1</v>
      </c>
      <c r="EU25" s="408">
        <f t="shared" si="91"/>
        <v>1</v>
      </c>
      <c r="EV25" s="409">
        <f t="shared" si="92"/>
        <v>0.61333350725526192</v>
      </c>
      <c r="EW25" s="735"/>
      <c r="EX25" s="734"/>
      <c r="EY25" s="735"/>
      <c r="EZ25" s="735"/>
      <c r="FA25" s="735"/>
      <c r="FB25" s="770"/>
      <c r="FC25" s="82"/>
      <c r="FD25" s="82"/>
    </row>
    <row r="26" spans="1:160" ht="30" customHeight="1" x14ac:dyDescent="0.25">
      <c r="A26" s="694"/>
      <c r="B26" s="694"/>
      <c r="C26" s="694"/>
      <c r="D26" s="694"/>
      <c r="E26" s="694"/>
      <c r="F26" s="83" t="s">
        <v>350</v>
      </c>
      <c r="G26" s="410"/>
      <c r="H26" s="414"/>
      <c r="I26" s="411"/>
      <c r="J26" s="411"/>
      <c r="K26" s="411"/>
      <c r="L26" s="411"/>
      <c r="M26" s="411"/>
      <c r="N26" s="411"/>
      <c r="O26" s="411"/>
      <c r="P26" s="411"/>
      <c r="Q26" s="411"/>
      <c r="R26" s="411"/>
      <c r="S26" s="411"/>
      <c r="T26" s="420"/>
      <c r="U26" s="432"/>
      <c r="V26" s="432"/>
      <c r="W26" s="406">
        <f t="shared" si="102"/>
        <v>0</v>
      </c>
      <c r="X26" s="406">
        <f t="shared" si="103"/>
        <v>0</v>
      </c>
      <c r="Y26" s="406">
        <f t="shared" si="104"/>
        <v>0</v>
      </c>
      <c r="Z26" s="410">
        <f t="shared" ref="Z26:AA26" si="125">+U26</f>
        <v>0</v>
      </c>
      <c r="AA26" s="410">
        <f t="shared" si="125"/>
        <v>0</v>
      </c>
      <c r="AB26" s="410"/>
      <c r="AC26" s="410"/>
      <c r="AD26" s="410"/>
      <c r="AE26" s="410"/>
      <c r="AF26" s="410"/>
      <c r="AG26" s="410">
        <v>2085333</v>
      </c>
      <c r="AH26" s="410">
        <v>2085333</v>
      </c>
      <c r="AI26" s="410">
        <f>4805333-AH26</f>
        <v>2720000</v>
      </c>
      <c r="AJ26" s="410">
        <v>2720000</v>
      </c>
      <c r="AK26" s="410">
        <v>2720000</v>
      </c>
      <c r="AL26" s="410">
        <v>2720000</v>
      </c>
      <c r="AM26" s="410">
        <v>2720000</v>
      </c>
      <c r="AN26" s="410">
        <v>2720000</v>
      </c>
      <c r="AO26" s="410">
        <v>2720000</v>
      </c>
      <c r="AP26" s="410">
        <v>2720000</v>
      </c>
      <c r="AQ26" s="410">
        <v>2720000</v>
      </c>
      <c r="AR26" s="410">
        <v>2720000</v>
      </c>
      <c r="AS26" s="410">
        <v>2720000</v>
      </c>
      <c r="AT26" s="410">
        <v>2720000</v>
      </c>
      <c r="AU26" s="410">
        <v>2720000</v>
      </c>
      <c r="AV26" s="410">
        <v>2720000</v>
      </c>
      <c r="AW26" s="410">
        <v>2720000</v>
      </c>
      <c r="AX26" s="410">
        <v>2720000</v>
      </c>
      <c r="AY26" s="410">
        <v>2720000</v>
      </c>
      <c r="AZ26" s="410">
        <v>2720000</v>
      </c>
      <c r="BA26" s="410">
        <f t="shared" si="106"/>
        <v>26565333</v>
      </c>
      <c r="BB26" s="410">
        <f t="shared" si="107"/>
        <v>26565333</v>
      </c>
      <c r="BC26" s="410">
        <f t="shared" si="108"/>
        <v>26565333</v>
      </c>
      <c r="BD26" s="410">
        <f t="shared" si="109"/>
        <v>26565333</v>
      </c>
      <c r="BE26" s="410">
        <f t="shared" si="110"/>
        <v>26565333</v>
      </c>
      <c r="BF26" s="410"/>
      <c r="BG26" s="410">
        <v>0</v>
      </c>
      <c r="BH26" s="410">
        <v>0</v>
      </c>
      <c r="BI26" s="410">
        <v>2006667</v>
      </c>
      <c r="BJ26" s="410">
        <v>0</v>
      </c>
      <c r="BK26" s="410">
        <v>3010000</v>
      </c>
      <c r="BL26" s="410">
        <v>3712333</v>
      </c>
      <c r="BM26" s="410">
        <v>3010000</v>
      </c>
      <c r="BN26" s="410">
        <v>3010000</v>
      </c>
      <c r="BO26" s="410">
        <v>3010000</v>
      </c>
      <c r="BP26" s="410">
        <v>3010000</v>
      </c>
      <c r="BQ26" s="410">
        <f>3010000</f>
        <v>3010000</v>
      </c>
      <c r="BR26" s="410">
        <v>3010000</v>
      </c>
      <c r="BS26" s="410">
        <v>3010000</v>
      </c>
      <c r="BT26" s="410">
        <v>3010000</v>
      </c>
      <c r="BU26" s="410">
        <v>3010000</v>
      </c>
      <c r="BV26" s="410">
        <v>3010000</v>
      </c>
      <c r="BW26" s="410">
        <v>3010000</v>
      </c>
      <c r="BX26" s="410">
        <v>3010000</v>
      </c>
      <c r="BY26" s="410">
        <v>3010000</v>
      </c>
      <c r="BZ26" s="410">
        <v>3080300</v>
      </c>
      <c r="CA26" s="410">
        <v>3010000</v>
      </c>
      <c r="CB26" s="410">
        <v>3079850</v>
      </c>
      <c r="CC26" s="410">
        <f>1003333+3010000+417600</f>
        <v>4430933</v>
      </c>
      <c r="CD26" s="410">
        <v>3079600</v>
      </c>
      <c r="CE26" s="410">
        <f t="shared" si="111"/>
        <v>33527600</v>
      </c>
      <c r="CF26" s="410">
        <f t="shared" si="112"/>
        <v>33527600</v>
      </c>
      <c r="CG26" s="410">
        <f t="shared" si="113"/>
        <v>31012083</v>
      </c>
      <c r="CH26" s="410">
        <f t="shared" si="114"/>
        <v>33527600</v>
      </c>
      <c r="CI26" s="410">
        <f t="shared" si="115"/>
        <v>31012083</v>
      </c>
      <c r="CJ26" s="410">
        <v>33110000</v>
      </c>
      <c r="CK26" s="410"/>
      <c r="CL26" s="410"/>
      <c r="CM26" s="410"/>
      <c r="CN26" s="410"/>
      <c r="CO26" s="410">
        <v>2809333</v>
      </c>
      <c r="CP26" s="410">
        <v>2809333</v>
      </c>
      <c r="CQ26" s="410">
        <v>3010000</v>
      </c>
      <c r="CR26" s="410">
        <v>3010000</v>
      </c>
      <c r="CS26" s="410">
        <v>3010000</v>
      </c>
      <c r="CT26" s="410">
        <v>3010000</v>
      </c>
      <c r="CU26" s="410">
        <v>3010000</v>
      </c>
      <c r="CV26" s="410">
        <v>3010000</v>
      </c>
      <c r="CW26" s="410">
        <v>3010000</v>
      </c>
      <c r="CX26" s="410">
        <v>3010000</v>
      </c>
      <c r="CY26" s="410">
        <v>3010000</v>
      </c>
      <c r="CZ26" s="410">
        <v>3010000</v>
      </c>
      <c r="DA26" s="410">
        <v>3010000</v>
      </c>
      <c r="DB26" s="410">
        <v>3010000</v>
      </c>
      <c r="DC26" s="410">
        <v>3010000</v>
      </c>
      <c r="DD26" s="410">
        <v>3010000</v>
      </c>
      <c r="DE26" s="410">
        <v>3010000</v>
      </c>
      <c r="DF26" s="410">
        <v>3010000</v>
      </c>
      <c r="DG26" s="410">
        <f>6220667+3010000</f>
        <v>9230667</v>
      </c>
      <c r="DH26" s="410">
        <v>3010000</v>
      </c>
      <c r="DI26" s="410">
        <f t="shared" si="116"/>
        <v>36120000</v>
      </c>
      <c r="DJ26" s="410">
        <f t="shared" ref="DJ26:DK26" si="126">CK26+CM26+CO26+CQ26+CS26+CU26+CW26+CY26+DA26+DC26+DE26+DG26</f>
        <v>36120000</v>
      </c>
      <c r="DK26" s="410">
        <f t="shared" si="126"/>
        <v>29899333</v>
      </c>
      <c r="DL26" s="433">
        <f t="shared" si="118"/>
        <v>36120000</v>
      </c>
      <c r="DM26" s="410">
        <f t="shared" si="119"/>
        <v>29899333</v>
      </c>
      <c r="DN26" s="410"/>
      <c r="DO26" s="411"/>
      <c r="DP26" s="411"/>
      <c r="DQ26" s="411"/>
      <c r="DR26" s="411"/>
      <c r="DS26" s="411"/>
      <c r="DT26" s="411"/>
      <c r="DU26" s="411"/>
      <c r="DV26" s="411"/>
      <c r="DW26" s="411"/>
      <c r="DX26" s="411"/>
      <c r="DY26" s="411"/>
      <c r="DZ26" s="411"/>
      <c r="EA26" s="411"/>
      <c r="EB26" s="411"/>
      <c r="EC26" s="411"/>
      <c r="ED26" s="411"/>
      <c r="EE26" s="411"/>
      <c r="EF26" s="411"/>
      <c r="EG26" s="411"/>
      <c r="EH26" s="411"/>
      <c r="EI26" s="411"/>
      <c r="EJ26" s="411"/>
      <c r="EK26" s="411"/>
      <c r="EL26" s="411"/>
      <c r="EM26" s="402">
        <f t="shared" ref="EM26:EM29" si="127">EI26+EG26+EE26+EC26+EA26+DY26+DW26+DU26+DS26+DQ26+DO26+EK26</f>
        <v>0</v>
      </c>
      <c r="EN26" s="413">
        <f t="shared" ref="EN26:EO26" si="128">DO26+DQ26+DS26+DU26</f>
        <v>0</v>
      </c>
      <c r="EO26" s="413">
        <f t="shared" si="128"/>
        <v>0</v>
      </c>
      <c r="EP26" s="412">
        <f t="shared" ref="EP26:EP27" si="129">DQ26+DS26+DU26+DW26+DY26+EA26+EC26+EE26+EG26+EI26+EK26</f>
        <v>0</v>
      </c>
      <c r="EQ26" s="413"/>
      <c r="ER26" s="407">
        <f t="shared" si="23"/>
        <v>0.32608694474624639</v>
      </c>
      <c r="ES26" s="407">
        <f t="shared" si="89"/>
        <v>0.8277777685492802</v>
      </c>
      <c r="ET26" s="408">
        <f t="shared" si="90"/>
        <v>0.8277777685492802</v>
      </c>
      <c r="EU26" s="408">
        <f t="shared" si="91"/>
        <v>0.90919948360788461</v>
      </c>
      <c r="EV26" s="409">
        <f t="shared" ref="EV26:EV27" si="130">IFERROR((AA26+BE26+CI26+DM26)/G26,0)</f>
        <v>0</v>
      </c>
      <c r="EW26" s="735"/>
      <c r="EX26" s="734"/>
      <c r="EY26" s="735"/>
      <c r="EZ26" s="735"/>
      <c r="FA26" s="735"/>
      <c r="FB26" s="770"/>
      <c r="FC26" s="82"/>
      <c r="FD26" s="82"/>
    </row>
    <row r="27" spans="1:160" ht="30" customHeight="1" x14ac:dyDescent="0.25">
      <c r="A27" s="694"/>
      <c r="B27" s="694"/>
      <c r="C27" s="694"/>
      <c r="D27" s="694"/>
      <c r="E27" s="694"/>
      <c r="F27" s="84" t="s">
        <v>351</v>
      </c>
      <c r="G27" s="374"/>
      <c r="H27" s="434"/>
      <c r="I27" s="404"/>
      <c r="J27" s="404"/>
      <c r="K27" s="404"/>
      <c r="L27" s="404"/>
      <c r="M27" s="404"/>
      <c r="N27" s="404"/>
      <c r="O27" s="404"/>
      <c r="P27" s="404"/>
      <c r="Q27" s="404"/>
      <c r="R27" s="404"/>
      <c r="S27" s="404"/>
      <c r="T27" s="416"/>
      <c r="U27" s="404"/>
      <c r="V27" s="416"/>
      <c r="W27" s="406">
        <f t="shared" si="102"/>
        <v>0</v>
      </c>
      <c r="X27" s="406">
        <f t="shared" si="103"/>
        <v>0</v>
      </c>
      <c r="Y27" s="406">
        <f t="shared" si="104"/>
        <v>0</v>
      </c>
      <c r="Z27" s="406">
        <f t="shared" ref="Z27:AA27" si="131">+U27</f>
        <v>0</v>
      </c>
      <c r="AA27" s="406">
        <f t="shared" si="131"/>
        <v>0</v>
      </c>
      <c r="AB27" s="374"/>
      <c r="AC27" s="374"/>
      <c r="AD27" s="374"/>
      <c r="AE27" s="374"/>
      <c r="AF27" s="374"/>
      <c r="AG27" s="374"/>
      <c r="AH27" s="374"/>
      <c r="AI27" s="374"/>
      <c r="AJ27" s="374"/>
      <c r="AK27" s="404"/>
      <c r="AL27" s="404"/>
      <c r="AM27" s="404"/>
      <c r="AN27" s="404"/>
      <c r="AO27" s="404"/>
      <c r="AP27" s="404"/>
      <c r="AQ27" s="404"/>
      <c r="AR27" s="404"/>
      <c r="AS27" s="404"/>
      <c r="AT27" s="404"/>
      <c r="AU27" s="404"/>
      <c r="AV27" s="404"/>
      <c r="AW27" s="404"/>
      <c r="AX27" s="404"/>
      <c r="AY27" s="404"/>
      <c r="AZ27" s="404"/>
      <c r="BA27" s="406">
        <f t="shared" si="106"/>
        <v>0</v>
      </c>
      <c r="BB27" s="406">
        <f t="shared" si="107"/>
        <v>0</v>
      </c>
      <c r="BC27" s="406">
        <f t="shared" si="108"/>
        <v>0</v>
      </c>
      <c r="BD27" s="406">
        <f t="shared" si="109"/>
        <v>0</v>
      </c>
      <c r="BE27" s="406">
        <f t="shared" si="110"/>
        <v>0</v>
      </c>
      <c r="BF27" s="404"/>
      <c r="BG27" s="404"/>
      <c r="BH27" s="404"/>
      <c r="BI27" s="404"/>
      <c r="BJ27" s="404"/>
      <c r="BK27" s="404"/>
      <c r="BL27" s="404"/>
      <c r="BM27" s="404"/>
      <c r="BN27" s="404"/>
      <c r="BO27" s="404"/>
      <c r="BP27" s="404"/>
      <c r="BQ27" s="404"/>
      <c r="BR27" s="404"/>
      <c r="BS27" s="404"/>
      <c r="BT27" s="404"/>
      <c r="BU27" s="404"/>
      <c r="BV27" s="404"/>
      <c r="BW27" s="404"/>
      <c r="BX27" s="404"/>
      <c r="BY27" s="404"/>
      <c r="BZ27" s="404"/>
      <c r="CA27" s="404"/>
      <c r="CB27" s="404"/>
      <c r="CC27" s="404"/>
      <c r="CD27" s="404"/>
      <c r="CE27" s="406">
        <f t="shared" si="111"/>
        <v>0</v>
      </c>
      <c r="CF27" s="406">
        <f t="shared" si="112"/>
        <v>0</v>
      </c>
      <c r="CG27" s="406">
        <f t="shared" si="113"/>
        <v>0</v>
      </c>
      <c r="CH27" s="406">
        <f t="shared" si="114"/>
        <v>0</v>
      </c>
      <c r="CI27" s="406">
        <f t="shared" si="115"/>
        <v>0</v>
      </c>
      <c r="CJ27" s="404"/>
      <c r="CK27" s="404"/>
      <c r="CL27" s="404"/>
      <c r="CM27" s="404"/>
      <c r="CN27" s="404"/>
      <c r="CO27" s="404"/>
      <c r="CP27" s="404"/>
      <c r="CQ27" s="404"/>
      <c r="CR27" s="404"/>
      <c r="CS27" s="404"/>
      <c r="CT27" s="404"/>
      <c r="CU27" s="404"/>
      <c r="CV27" s="404"/>
      <c r="CW27" s="404"/>
      <c r="CX27" s="404"/>
      <c r="CY27" s="404"/>
      <c r="CZ27" s="404"/>
      <c r="DA27" s="404"/>
      <c r="DB27" s="404"/>
      <c r="DC27" s="404"/>
      <c r="DD27" s="404"/>
      <c r="DE27" s="404"/>
      <c r="DF27" s="404"/>
      <c r="DG27" s="404"/>
      <c r="DH27" s="404"/>
      <c r="DI27" s="422">
        <f t="shared" si="116"/>
        <v>0</v>
      </c>
      <c r="DJ27" s="402">
        <f t="shared" ref="DJ27:DK27" si="132">CK27+CM27+CO27+CQ27+CS27+CU27+CW27+CY27+DA27+DC27+DE27+DG27</f>
        <v>0</v>
      </c>
      <c r="DK27" s="402">
        <f t="shared" si="132"/>
        <v>0</v>
      </c>
      <c r="DL27" s="422">
        <f t="shared" si="118"/>
        <v>0</v>
      </c>
      <c r="DM27" s="405">
        <f t="shared" si="119"/>
        <v>0</v>
      </c>
      <c r="DN27" s="404"/>
      <c r="DO27" s="404"/>
      <c r="DP27" s="404"/>
      <c r="DQ27" s="404"/>
      <c r="DR27" s="404"/>
      <c r="DS27" s="404"/>
      <c r="DT27" s="404"/>
      <c r="DU27" s="404"/>
      <c r="DV27" s="404"/>
      <c r="DW27" s="404"/>
      <c r="DX27" s="404"/>
      <c r="DY27" s="404"/>
      <c r="DZ27" s="404"/>
      <c r="EA27" s="404"/>
      <c r="EB27" s="404"/>
      <c r="EC27" s="404"/>
      <c r="ED27" s="404"/>
      <c r="EE27" s="404"/>
      <c r="EF27" s="404"/>
      <c r="EG27" s="404"/>
      <c r="EH27" s="404"/>
      <c r="EI27" s="404"/>
      <c r="EJ27" s="404"/>
      <c r="EK27" s="404"/>
      <c r="EL27" s="404"/>
      <c r="EM27" s="405">
        <f t="shared" si="127"/>
        <v>0</v>
      </c>
      <c r="EN27" s="429">
        <f t="shared" ref="EN27:EO27" si="133">DO27+DQ27+DS27+DU27</f>
        <v>0</v>
      </c>
      <c r="EO27" s="429">
        <f t="shared" si="133"/>
        <v>0</v>
      </c>
      <c r="EP27" s="430">
        <f t="shared" si="129"/>
        <v>0</v>
      </c>
      <c r="EQ27" s="416"/>
      <c r="ER27" s="407">
        <f>IFERROR(DH27/DG27,0)</f>
        <v>0</v>
      </c>
      <c r="ES27" s="407">
        <f>IFERROR(DK27/DJ27,0)</f>
        <v>0</v>
      </c>
      <c r="ET27" s="408">
        <f>IFERROR(DM27/DL27,0)</f>
        <v>0</v>
      </c>
      <c r="EU27" s="408">
        <f>IFERROR((AA27+BE27+CI27+DK27)/(Z27+BD27+CH27+DJ27),0)</f>
        <v>0</v>
      </c>
      <c r="EV27" s="409">
        <f t="shared" si="130"/>
        <v>0</v>
      </c>
      <c r="EW27" s="735"/>
      <c r="EX27" s="734"/>
      <c r="EY27" s="735"/>
      <c r="EZ27" s="735"/>
      <c r="FA27" s="735"/>
      <c r="FB27" s="770"/>
      <c r="FC27" s="80"/>
      <c r="FD27" s="80"/>
    </row>
    <row r="28" spans="1:160" ht="30" customHeight="1" x14ac:dyDescent="0.25">
      <c r="A28" s="694"/>
      <c r="B28" s="694"/>
      <c r="C28" s="694"/>
      <c r="D28" s="694"/>
      <c r="E28" s="694"/>
      <c r="F28" s="85" t="s">
        <v>352</v>
      </c>
      <c r="G28" s="410">
        <f>AA28+BE28+CI28+DL28+DN28</f>
        <v>9536400</v>
      </c>
      <c r="H28" s="410"/>
      <c r="I28" s="410"/>
      <c r="J28" s="410"/>
      <c r="K28" s="410"/>
      <c r="L28" s="410"/>
      <c r="M28" s="410"/>
      <c r="N28" s="410"/>
      <c r="O28" s="410"/>
      <c r="P28" s="410"/>
      <c r="Q28" s="410"/>
      <c r="R28" s="410"/>
      <c r="S28" s="410"/>
      <c r="T28" s="410"/>
      <c r="U28" s="410"/>
      <c r="V28" s="410"/>
      <c r="W28" s="410">
        <f t="shared" si="102"/>
        <v>0</v>
      </c>
      <c r="X28" s="410">
        <f t="shared" si="103"/>
        <v>0</v>
      </c>
      <c r="Y28" s="410">
        <f t="shared" si="104"/>
        <v>0</v>
      </c>
      <c r="Z28" s="410">
        <f t="shared" ref="Z28:AA28" si="134">+U28</f>
        <v>0</v>
      </c>
      <c r="AA28" s="410">
        <f t="shared" si="134"/>
        <v>0</v>
      </c>
      <c r="AB28" s="410">
        <v>3718400</v>
      </c>
      <c r="AC28" s="410">
        <v>3718400</v>
      </c>
      <c r="AD28" s="410">
        <v>3718400</v>
      </c>
      <c r="AE28" s="410">
        <v>0</v>
      </c>
      <c r="AF28" s="410">
        <v>0</v>
      </c>
      <c r="AG28" s="410">
        <v>0</v>
      </c>
      <c r="AH28" s="410">
        <v>0</v>
      </c>
      <c r="AI28" s="410">
        <v>0</v>
      </c>
      <c r="AJ28" s="410">
        <v>0</v>
      </c>
      <c r="AK28" s="410">
        <v>0</v>
      </c>
      <c r="AL28" s="410">
        <v>0</v>
      </c>
      <c r="AM28" s="410">
        <v>0</v>
      </c>
      <c r="AN28" s="410">
        <v>0</v>
      </c>
      <c r="AO28" s="410">
        <v>0</v>
      </c>
      <c r="AP28" s="410">
        <v>0</v>
      </c>
      <c r="AQ28" s="410"/>
      <c r="AR28" s="410"/>
      <c r="AS28" s="410"/>
      <c r="AT28" s="410"/>
      <c r="AU28" s="410"/>
      <c r="AV28" s="410"/>
      <c r="AW28" s="410"/>
      <c r="AX28" s="410">
        <v>0</v>
      </c>
      <c r="AY28" s="410"/>
      <c r="AZ28" s="410">
        <v>0</v>
      </c>
      <c r="BA28" s="410">
        <f t="shared" si="106"/>
        <v>3718400</v>
      </c>
      <c r="BB28" s="410">
        <f t="shared" si="107"/>
        <v>3718400</v>
      </c>
      <c r="BC28" s="410">
        <f t="shared" si="108"/>
        <v>3718400</v>
      </c>
      <c r="BD28" s="410">
        <f t="shared" si="109"/>
        <v>3718400</v>
      </c>
      <c r="BE28" s="410">
        <f t="shared" si="110"/>
        <v>3718400</v>
      </c>
      <c r="BF28" s="410">
        <v>3354667</v>
      </c>
      <c r="BG28" s="410">
        <v>0</v>
      </c>
      <c r="BH28" s="410">
        <v>0</v>
      </c>
      <c r="BI28" s="410">
        <v>3354667</v>
      </c>
      <c r="BJ28" s="410">
        <v>3354667</v>
      </c>
      <c r="BK28" s="410">
        <v>0</v>
      </c>
      <c r="BL28" s="410">
        <v>0</v>
      </c>
      <c r="BM28" s="410">
        <v>0</v>
      </c>
      <c r="BN28" s="410">
        <v>0</v>
      </c>
      <c r="BO28" s="410">
        <v>0</v>
      </c>
      <c r="BP28" s="410"/>
      <c r="BQ28" s="410">
        <v>0</v>
      </c>
      <c r="BR28" s="410">
        <v>0</v>
      </c>
      <c r="BS28" s="410">
        <v>0</v>
      </c>
      <c r="BT28" s="410">
        <v>0</v>
      </c>
      <c r="BU28" s="410"/>
      <c r="BV28" s="410">
        <v>0</v>
      </c>
      <c r="BW28" s="410"/>
      <c r="BX28" s="410"/>
      <c r="BY28" s="410">
        <v>0</v>
      </c>
      <c r="BZ28" s="410">
        <v>0</v>
      </c>
      <c r="CA28" s="410"/>
      <c r="CB28" s="410">
        <v>0</v>
      </c>
      <c r="CC28" s="410"/>
      <c r="CD28" s="410"/>
      <c r="CE28" s="410">
        <f t="shared" si="111"/>
        <v>3354667</v>
      </c>
      <c r="CF28" s="410">
        <f t="shared" si="112"/>
        <v>3354667</v>
      </c>
      <c r="CG28" s="410">
        <f t="shared" si="113"/>
        <v>3354667</v>
      </c>
      <c r="CH28" s="410">
        <f t="shared" si="114"/>
        <v>3354667</v>
      </c>
      <c r="CI28" s="410">
        <f t="shared" si="115"/>
        <v>3354667</v>
      </c>
      <c r="CJ28" s="410">
        <v>2515517</v>
      </c>
      <c r="CK28" s="410">
        <v>2377583</v>
      </c>
      <c r="CL28" s="410">
        <v>2377583</v>
      </c>
      <c r="CM28" s="410">
        <v>28725</v>
      </c>
      <c r="CN28" s="410">
        <v>28725</v>
      </c>
      <c r="CO28" s="410">
        <v>28725</v>
      </c>
      <c r="CP28" s="410">
        <v>28725</v>
      </c>
      <c r="CQ28" s="410">
        <v>80484</v>
      </c>
      <c r="CR28" s="410">
        <v>28300</v>
      </c>
      <c r="CS28" s="410"/>
      <c r="CT28" s="410">
        <v>0</v>
      </c>
      <c r="CU28" s="410">
        <v>-52184</v>
      </c>
      <c r="CV28" s="410"/>
      <c r="CW28" s="410"/>
      <c r="CX28" s="410"/>
      <c r="CY28" s="410"/>
      <c r="CZ28" s="410"/>
      <c r="DA28" s="410"/>
      <c r="DB28" s="410"/>
      <c r="DC28" s="410"/>
      <c r="DD28" s="410"/>
      <c r="DE28" s="410"/>
      <c r="DF28" s="410"/>
      <c r="DG28" s="410"/>
      <c r="DH28" s="410"/>
      <c r="DI28" s="422">
        <f t="shared" si="116"/>
        <v>2463333</v>
      </c>
      <c r="DJ28" s="402">
        <f t="shared" ref="DJ28:DK28" si="135">CK28+CM28+CO28+CQ28+CS28+CU28+CW28+CY28+DA28+DC28+DE28+DG28</f>
        <v>2463333</v>
      </c>
      <c r="DK28" s="402">
        <f t="shared" si="135"/>
        <v>2463333</v>
      </c>
      <c r="DL28" s="422">
        <f t="shared" si="118"/>
        <v>2463333</v>
      </c>
      <c r="DM28" s="410">
        <f t="shared" si="119"/>
        <v>2463333</v>
      </c>
      <c r="DN28" s="410"/>
      <c r="DO28" s="411"/>
      <c r="DP28" s="411"/>
      <c r="DQ28" s="411"/>
      <c r="DR28" s="411"/>
      <c r="DS28" s="411"/>
      <c r="DT28" s="411"/>
      <c r="DU28" s="411"/>
      <c r="DV28" s="411"/>
      <c r="DW28" s="411"/>
      <c r="DX28" s="411"/>
      <c r="DY28" s="411"/>
      <c r="DZ28" s="411"/>
      <c r="EA28" s="411"/>
      <c r="EB28" s="411"/>
      <c r="EC28" s="411"/>
      <c r="ED28" s="411"/>
      <c r="EE28" s="411"/>
      <c r="EF28" s="411"/>
      <c r="EG28" s="411"/>
      <c r="EH28" s="411"/>
      <c r="EI28" s="411"/>
      <c r="EJ28" s="411"/>
      <c r="EK28" s="411"/>
      <c r="EL28" s="411"/>
      <c r="EM28" s="405">
        <f t="shared" si="127"/>
        <v>0</v>
      </c>
      <c r="EN28" s="413">
        <f t="shared" ref="EN28:EO28" si="136">DO28+DQ28+DS28+DU28</f>
        <v>0</v>
      </c>
      <c r="EO28" s="413">
        <f t="shared" si="136"/>
        <v>0</v>
      </c>
      <c r="EP28" s="412">
        <f t="shared" ref="EP28:EP29" si="137">DQ28+DS28+DU28+DW28+DY28+EA28+EC28+EE28+EG28+EI28+EK28+DO28</f>
        <v>0</v>
      </c>
      <c r="EQ28" s="413"/>
      <c r="ER28" s="407">
        <f>IFERROR(DH28/DG28,0)</f>
        <v>0</v>
      </c>
      <c r="ES28" s="407">
        <f t="shared" ref="ES28:ES33" si="138">DK28/DJ28</f>
        <v>1</v>
      </c>
      <c r="ET28" s="408">
        <f t="shared" ref="ET28:ET33" si="139">DM28/DL28</f>
        <v>1</v>
      </c>
      <c r="EU28" s="408">
        <f t="shared" ref="EU28:EU30" si="140">(AA28+BE28+CI28+DK28)/(Z28+BD28+CH28+DJ28)</f>
        <v>1</v>
      </c>
      <c r="EV28" s="409">
        <f t="shared" ref="EV28:EV30" si="141">(AA28+BE28+CI28+DM28)/G28</f>
        <v>1</v>
      </c>
      <c r="EW28" s="735"/>
      <c r="EX28" s="734"/>
      <c r="EY28" s="735"/>
      <c r="EZ28" s="735"/>
      <c r="FA28" s="735"/>
      <c r="FB28" s="770"/>
      <c r="FC28" s="82"/>
      <c r="FD28" s="82"/>
    </row>
    <row r="29" spans="1:160" ht="30" customHeight="1" thickBot="1" x14ac:dyDescent="0.3">
      <c r="A29" s="694"/>
      <c r="B29" s="694"/>
      <c r="C29" s="694"/>
      <c r="D29" s="694"/>
      <c r="E29" s="694"/>
      <c r="F29" s="84" t="s">
        <v>353</v>
      </c>
      <c r="G29" s="447">
        <f t="shared" ref="G29:G30" si="142">G24+G27</f>
        <v>20000</v>
      </c>
      <c r="H29" s="475">
        <v>2500</v>
      </c>
      <c r="I29" s="476"/>
      <c r="J29" s="476"/>
      <c r="K29" s="476">
        <v>2500</v>
      </c>
      <c r="L29" s="476">
        <v>0</v>
      </c>
      <c r="M29" s="476">
        <v>2500</v>
      </c>
      <c r="N29" s="477">
        <v>741</v>
      </c>
      <c r="O29" s="476">
        <v>2500</v>
      </c>
      <c r="P29" s="477">
        <v>1257</v>
      </c>
      <c r="Q29" s="476">
        <v>2500</v>
      </c>
      <c r="R29" s="478">
        <v>1908</v>
      </c>
      <c r="S29" s="476">
        <v>2500</v>
      </c>
      <c r="T29" s="449">
        <v>2210</v>
      </c>
      <c r="U29" s="476">
        <v>2500</v>
      </c>
      <c r="V29" s="476">
        <v>2500</v>
      </c>
      <c r="W29" s="450">
        <f t="shared" si="102"/>
        <v>2500</v>
      </c>
      <c r="X29" s="450">
        <f t="shared" si="103"/>
        <v>2500</v>
      </c>
      <c r="Y29" s="450">
        <f t="shared" si="104"/>
        <v>2500</v>
      </c>
      <c r="Z29" s="450">
        <f t="shared" ref="Z29:AA29" si="143">+U29</f>
        <v>2500</v>
      </c>
      <c r="AA29" s="450">
        <f t="shared" si="143"/>
        <v>2500</v>
      </c>
      <c r="AB29" s="447">
        <v>3500</v>
      </c>
      <c r="AC29" s="447">
        <v>246</v>
      </c>
      <c r="AD29" s="447">
        <v>246</v>
      </c>
      <c r="AE29" s="447">
        <v>301</v>
      </c>
      <c r="AF29" s="447">
        <v>301</v>
      </c>
      <c r="AG29" s="447">
        <v>296</v>
      </c>
      <c r="AH29" s="447">
        <v>296</v>
      </c>
      <c r="AI29" s="447">
        <v>300</v>
      </c>
      <c r="AJ29" s="447">
        <v>300</v>
      </c>
      <c r="AK29" s="477">
        <v>320</v>
      </c>
      <c r="AL29" s="477">
        <v>320</v>
      </c>
      <c r="AM29" s="477">
        <v>297</v>
      </c>
      <c r="AN29" s="477">
        <f>+AN24</f>
        <v>297</v>
      </c>
      <c r="AO29" s="477">
        <v>290</v>
      </c>
      <c r="AP29" s="477">
        <v>293</v>
      </c>
      <c r="AQ29" s="477">
        <v>290</v>
      </c>
      <c r="AR29" s="477">
        <v>311</v>
      </c>
      <c r="AS29" s="477">
        <v>290</v>
      </c>
      <c r="AT29" s="477">
        <v>295</v>
      </c>
      <c r="AU29" s="477">
        <v>290</v>
      </c>
      <c r="AV29" s="477">
        <v>292</v>
      </c>
      <c r="AW29" s="477">
        <v>290</v>
      </c>
      <c r="AX29" s="477">
        <v>291</v>
      </c>
      <c r="AY29" s="477">
        <v>290</v>
      </c>
      <c r="AZ29" s="477">
        <v>298</v>
      </c>
      <c r="BA29" s="450">
        <f t="shared" si="106"/>
        <v>3500</v>
      </c>
      <c r="BB29" s="450">
        <f t="shared" si="107"/>
        <v>3500</v>
      </c>
      <c r="BC29" s="450">
        <f t="shared" si="108"/>
        <v>3540</v>
      </c>
      <c r="BD29" s="450">
        <f t="shared" si="109"/>
        <v>3500</v>
      </c>
      <c r="BE29" s="450">
        <f t="shared" si="110"/>
        <v>3540</v>
      </c>
      <c r="BF29" s="477">
        <v>5000</v>
      </c>
      <c r="BG29" s="477">
        <f t="shared" ref="BG29:CD29" si="144">+BG24</f>
        <v>40</v>
      </c>
      <c r="BH29" s="477">
        <f t="shared" si="144"/>
        <v>40</v>
      </c>
      <c r="BI29" s="477">
        <f t="shared" si="144"/>
        <v>460</v>
      </c>
      <c r="BJ29" s="477">
        <f t="shared" si="144"/>
        <v>464</v>
      </c>
      <c r="BK29" s="477">
        <f t="shared" si="144"/>
        <v>450</v>
      </c>
      <c r="BL29" s="477">
        <f t="shared" si="144"/>
        <v>452</v>
      </c>
      <c r="BM29" s="477">
        <f t="shared" si="144"/>
        <v>450</v>
      </c>
      <c r="BN29" s="477">
        <f t="shared" si="144"/>
        <v>448</v>
      </c>
      <c r="BO29" s="477">
        <f t="shared" si="144"/>
        <v>450</v>
      </c>
      <c r="BP29" s="477">
        <f t="shared" si="144"/>
        <v>457</v>
      </c>
      <c r="BQ29" s="477">
        <f t="shared" si="144"/>
        <v>450</v>
      </c>
      <c r="BR29" s="477">
        <f t="shared" si="144"/>
        <v>451</v>
      </c>
      <c r="BS29" s="477">
        <f t="shared" si="144"/>
        <v>450</v>
      </c>
      <c r="BT29" s="477">
        <f t="shared" si="144"/>
        <v>455</v>
      </c>
      <c r="BU29" s="477">
        <f t="shared" si="144"/>
        <v>450</v>
      </c>
      <c r="BV29" s="477">
        <f t="shared" si="144"/>
        <v>475</v>
      </c>
      <c r="BW29" s="477">
        <f t="shared" si="144"/>
        <v>450</v>
      </c>
      <c r="BX29" s="477">
        <f t="shared" si="144"/>
        <v>460</v>
      </c>
      <c r="BY29" s="477">
        <f t="shared" si="144"/>
        <v>450</v>
      </c>
      <c r="BZ29" s="477">
        <f t="shared" si="144"/>
        <v>450</v>
      </c>
      <c r="CA29" s="477">
        <f t="shared" si="144"/>
        <v>450</v>
      </c>
      <c r="CB29" s="477">
        <f t="shared" si="144"/>
        <v>450</v>
      </c>
      <c r="CC29" s="477">
        <f t="shared" si="144"/>
        <v>512</v>
      </c>
      <c r="CD29" s="477">
        <f t="shared" si="144"/>
        <v>460</v>
      </c>
      <c r="CE29" s="450">
        <f t="shared" si="111"/>
        <v>5062</v>
      </c>
      <c r="CF29" s="450">
        <f t="shared" si="112"/>
        <v>5062</v>
      </c>
      <c r="CG29" s="450">
        <f t="shared" si="113"/>
        <v>5062</v>
      </c>
      <c r="CH29" s="450">
        <f t="shared" si="114"/>
        <v>5062</v>
      </c>
      <c r="CI29" s="450">
        <f t="shared" si="115"/>
        <v>5062</v>
      </c>
      <c r="CJ29" s="477">
        <v>6000</v>
      </c>
      <c r="CK29" s="449">
        <f t="shared" ref="CK29:DH29" si="145">+CK24</f>
        <v>0</v>
      </c>
      <c r="CL29" s="449">
        <f t="shared" si="145"/>
        <v>0</v>
      </c>
      <c r="CM29" s="449">
        <f t="shared" si="145"/>
        <v>575</v>
      </c>
      <c r="CN29" s="449">
        <f t="shared" si="145"/>
        <v>600</v>
      </c>
      <c r="CO29" s="449">
        <f t="shared" si="145"/>
        <v>575</v>
      </c>
      <c r="CP29" s="449">
        <f t="shared" si="145"/>
        <v>650</v>
      </c>
      <c r="CQ29" s="449">
        <f t="shared" si="145"/>
        <v>575</v>
      </c>
      <c r="CR29" s="449">
        <f t="shared" si="145"/>
        <v>600</v>
      </c>
      <c r="CS29" s="449">
        <f t="shared" si="145"/>
        <v>575</v>
      </c>
      <c r="CT29" s="449">
        <f t="shared" si="145"/>
        <v>600</v>
      </c>
      <c r="CU29" s="449">
        <f t="shared" si="145"/>
        <v>575</v>
      </c>
      <c r="CV29" s="449">
        <f t="shared" si="145"/>
        <v>615</v>
      </c>
      <c r="CW29" s="449">
        <f t="shared" si="145"/>
        <v>575</v>
      </c>
      <c r="CX29" s="449">
        <f t="shared" si="145"/>
        <v>575</v>
      </c>
      <c r="CY29" s="449">
        <f t="shared" si="145"/>
        <v>575</v>
      </c>
      <c r="CZ29" s="449">
        <f t="shared" si="145"/>
        <v>671</v>
      </c>
      <c r="DA29" s="449">
        <f t="shared" si="145"/>
        <v>575</v>
      </c>
      <c r="DB29" s="449">
        <f t="shared" si="145"/>
        <v>585</v>
      </c>
      <c r="DC29" s="449">
        <f t="shared" si="145"/>
        <v>575</v>
      </c>
      <c r="DD29" s="449">
        <f t="shared" si="145"/>
        <v>611</v>
      </c>
      <c r="DE29" s="449">
        <f t="shared" si="145"/>
        <v>575</v>
      </c>
      <c r="DF29" s="449">
        <f t="shared" si="145"/>
        <v>223</v>
      </c>
      <c r="DG29" s="449">
        <f t="shared" si="145"/>
        <v>250</v>
      </c>
      <c r="DH29" s="449">
        <f t="shared" si="145"/>
        <v>192</v>
      </c>
      <c r="DI29" s="471">
        <f t="shared" si="116"/>
        <v>6000</v>
      </c>
      <c r="DJ29" s="447">
        <f t="shared" ref="DJ29:DK29" si="146">CK29+CM29+CO29+CQ29+CS29+CU29+CW29+CY29+DA29+DC29+DE29+DG29</f>
        <v>6000</v>
      </c>
      <c r="DK29" s="447">
        <f t="shared" si="146"/>
        <v>5922</v>
      </c>
      <c r="DL29" s="471">
        <f t="shared" si="118"/>
        <v>6000</v>
      </c>
      <c r="DM29" s="447">
        <f t="shared" si="119"/>
        <v>5922</v>
      </c>
      <c r="DN29" s="447">
        <f>DN24</f>
        <v>2898</v>
      </c>
      <c r="DO29" s="477"/>
      <c r="DP29" s="477"/>
      <c r="DQ29" s="477"/>
      <c r="DR29" s="477"/>
      <c r="DS29" s="477"/>
      <c r="DT29" s="477"/>
      <c r="DU29" s="477"/>
      <c r="DV29" s="477"/>
      <c r="DW29" s="477"/>
      <c r="DX29" s="477"/>
      <c r="DY29" s="477"/>
      <c r="DZ29" s="477"/>
      <c r="EA29" s="477"/>
      <c r="EB29" s="477"/>
      <c r="EC29" s="477"/>
      <c r="ED29" s="477"/>
      <c r="EE29" s="477"/>
      <c r="EF29" s="477"/>
      <c r="EG29" s="477"/>
      <c r="EH29" s="477"/>
      <c r="EI29" s="477"/>
      <c r="EJ29" s="477"/>
      <c r="EK29" s="477"/>
      <c r="EL29" s="477"/>
      <c r="EM29" s="449">
        <f t="shared" si="127"/>
        <v>0</v>
      </c>
      <c r="EN29" s="477"/>
      <c r="EO29" s="472">
        <f>DP29+DR29+DT29+DV29</f>
        <v>0</v>
      </c>
      <c r="EP29" s="473">
        <f t="shared" si="137"/>
        <v>0</v>
      </c>
      <c r="EQ29" s="472"/>
      <c r="ER29" s="451">
        <f t="shared" si="23"/>
        <v>0.76800000000000002</v>
      </c>
      <c r="ES29" s="451">
        <f t="shared" si="138"/>
        <v>0.98699999999999999</v>
      </c>
      <c r="ET29" s="452">
        <f t="shared" si="139"/>
        <v>0.98699999999999999</v>
      </c>
      <c r="EU29" s="452">
        <f t="shared" si="140"/>
        <v>0.99777282850779514</v>
      </c>
      <c r="EV29" s="421">
        <f t="shared" si="141"/>
        <v>0.85119999999999996</v>
      </c>
      <c r="EW29" s="735"/>
      <c r="EX29" s="734"/>
      <c r="EY29" s="735"/>
      <c r="EZ29" s="735"/>
      <c r="FA29" s="735"/>
      <c r="FB29" s="770"/>
      <c r="FC29" s="80"/>
      <c r="FD29" s="80"/>
    </row>
    <row r="30" spans="1:160" ht="30" customHeight="1" thickBot="1" x14ac:dyDescent="0.3">
      <c r="A30" s="733"/>
      <c r="B30" s="733"/>
      <c r="C30" s="733"/>
      <c r="D30" s="733"/>
      <c r="E30" s="733"/>
      <c r="F30" s="86" t="s">
        <v>354</v>
      </c>
      <c r="G30" s="459">
        <f t="shared" si="142"/>
        <v>193527000</v>
      </c>
      <c r="H30" s="460">
        <f t="shared" ref="H30:DN30" si="147">H25+H28</f>
        <v>24546000</v>
      </c>
      <c r="I30" s="460">
        <f t="shared" si="147"/>
        <v>0</v>
      </c>
      <c r="J30" s="460">
        <f t="shared" si="147"/>
        <v>0</v>
      </c>
      <c r="K30" s="460">
        <f t="shared" si="147"/>
        <v>24546000</v>
      </c>
      <c r="L30" s="460">
        <f t="shared" si="147"/>
        <v>0</v>
      </c>
      <c r="M30" s="460">
        <f t="shared" si="147"/>
        <v>24546000</v>
      </c>
      <c r="N30" s="460">
        <f t="shared" si="147"/>
        <v>10624000</v>
      </c>
      <c r="O30" s="460">
        <f t="shared" si="147"/>
        <v>24546000</v>
      </c>
      <c r="P30" s="460">
        <f t="shared" si="147"/>
        <v>10624000</v>
      </c>
      <c r="Q30" s="460">
        <f t="shared" si="147"/>
        <v>13280000</v>
      </c>
      <c r="R30" s="460">
        <f t="shared" si="147"/>
        <v>10624000</v>
      </c>
      <c r="S30" s="460">
        <f t="shared" si="147"/>
        <v>13280000</v>
      </c>
      <c r="T30" s="460">
        <f t="shared" si="147"/>
        <v>10624000</v>
      </c>
      <c r="U30" s="460">
        <f t="shared" si="147"/>
        <v>13280000</v>
      </c>
      <c r="V30" s="460">
        <f t="shared" si="147"/>
        <v>13280000</v>
      </c>
      <c r="W30" s="460">
        <f t="shared" si="147"/>
        <v>24546000</v>
      </c>
      <c r="X30" s="460">
        <f t="shared" si="147"/>
        <v>24546000</v>
      </c>
      <c r="Y30" s="460">
        <f t="shared" si="147"/>
        <v>13280000</v>
      </c>
      <c r="Z30" s="460">
        <f t="shared" si="147"/>
        <v>13280000</v>
      </c>
      <c r="AA30" s="460">
        <f t="shared" si="147"/>
        <v>13280000</v>
      </c>
      <c r="AB30" s="460">
        <f t="shared" si="147"/>
        <v>38003400</v>
      </c>
      <c r="AC30" s="460">
        <f t="shared" si="147"/>
        <v>3718400</v>
      </c>
      <c r="AD30" s="460">
        <f t="shared" si="147"/>
        <v>3718400</v>
      </c>
      <c r="AE30" s="460">
        <f t="shared" si="147"/>
        <v>27200000</v>
      </c>
      <c r="AF30" s="460">
        <f t="shared" si="147"/>
        <v>27200000</v>
      </c>
      <c r="AG30" s="460">
        <f t="shared" si="147"/>
        <v>0</v>
      </c>
      <c r="AH30" s="460">
        <f t="shared" si="147"/>
        <v>0</v>
      </c>
      <c r="AI30" s="460">
        <f t="shared" si="147"/>
        <v>0</v>
      </c>
      <c r="AJ30" s="460">
        <f t="shared" si="147"/>
        <v>0</v>
      </c>
      <c r="AK30" s="460">
        <f t="shared" si="147"/>
        <v>0</v>
      </c>
      <c r="AL30" s="460">
        <f t="shared" si="147"/>
        <v>0</v>
      </c>
      <c r="AM30" s="460">
        <f t="shared" si="147"/>
        <v>0</v>
      </c>
      <c r="AN30" s="460">
        <f t="shared" si="147"/>
        <v>0</v>
      </c>
      <c r="AO30" s="460">
        <f t="shared" si="147"/>
        <v>0</v>
      </c>
      <c r="AP30" s="460">
        <f t="shared" si="147"/>
        <v>0</v>
      </c>
      <c r="AQ30" s="460">
        <f t="shared" si="147"/>
        <v>0</v>
      </c>
      <c r="AR30" s="460">
        <f t="shared" si="147"/>
        <v>0</v>
      </c>
      <c r="AS30" s="460">
        <f t="shared" si="147"/>
        <v>2720000</v>
      </c>
      <c r="AT30" s="460">
        <f t="shared" si="147"/>
        <v>0</v>
      </c>
      <c r="AU30" s="460">
        <f t="shared" si="147"/>
        <v>0</v>
      </c>
      <c r="AV30" s="460">
        <f t="shared" si="147"/>
        <v>0</v>
      </c>
      <c r="AW30" s="460">
        <f t="shared" si="147"/>
        <v>0</v>
      </c>
      <c r="AX30" s="460">
        <f t="shared" si="147"/>
        <v>0</v>
      </c>
      <c r="AY30" s="460">
        <f t="shared" si="147"/>
        <v>0</v>
      </c>
      <c r="AZ30" s="460">
        <f t="shared" si="147"/>
        <v>2720000</v>
      </c>
      <c r="BA30" s="460">
        <f t="shared" si="147"/>
        <v>33638400</v>
      </c>
      <c r="BB30" s="460">
        <f t="shared" si="147"/>
        <v>33638400</v>
      </c>
      <c r="BC30" s="460">
        <f t="shared" si="147"/>
        <v>33638400</v>
      </c>
      <c r="BD30" s="460">
        <f t="shared" si="147"/>
        <v>33638400</v>
      </c>
      <c r="BE30" s="460">
        <f t="shared" si="147"/>
        <v>33638400</v>
      </c>
      <c r="BF30" s="460">
        <f t="shared" si="147"/>
        <v>33454667</v>
      </c>
      <c r="BG30" s="460">
        <f t="shared" si="147"/>
        <v>30100000</v>
      </c>
      <c r="BH30" s="460">
        <f t="shared" si="147"/>
        <v>30100000</v>
      </c>
      <c r="BI30" s="460">
        <f t="shared" si="147"/>
        <v>3354667</v>
      </c>
      <c r="BJ30" s="460">
        <f t="shared" si="147"/>
        <v>3354667</v>
      </c>
      <c r="BK30" s="460">
        <f t="shared" si="147"/>
        <v>0</v>
      </c>
      <c r="BL30" s="460">
        <f t="shared" si="147"/>
        <v>0</v>
      </c>
      <c r="BM30" s="460">
        <f t="shared" si="147"/>
        <v>0</v>
      </c>
      <c r="BN30" s="460">
        <f t="shared" si="147"/>
        <v>0</v>
      </c>
      <c r="BO30" s="460">
        <f t="shared" si="147"/>
        <v>0</v>
      </c>
      <c r="BP30" s="460">
        <f t="shared" si="147"/>
        <v>0</v>
      </c>
      <c r="BQ30" s="460">
        <f t="shared" si="147"/>
        <v>835200</v>
      </c>
      <c r="BR30" s="460">
        <f t="shared" si="147"/>
        <v>0</v>
      </c>
      <c r="BS30" s="460">
        <f t="shared" si="147"/>
        <v>-417600</v>
      </c>
      <c r="BT30" s="460">
        <f t="shared" si="147"/>
        <v>0</v>
      </c>
      <c r="BU30" s="460">
        <f t="shared" si="147"/>
        <v>0</v>
      </c>
      <c r="BV30" s="460">
        <f t="shared" si="147"/>
        <v>0</v>
      </c>
      <c r="BW30" s="460">
        <f t="shared" si="147"/>
        <v>0</v>
      </c>
      <c r="BX30" s="460">
        <f t="shared" si="147"/>
        <v>417600</v>
      </c>
      <c r="BY30" s="460">
        <f t="shared" si="147"/>
        <v>0</v>
      </c>
      <c r="BZ30" s="460">
        <f t="shared" si="147"/>
        <v>0</v>
      </c>
      <c r="CA30" s="460">
        <f t="shared" si="147"/>
        <v>3010000</v>
      </c>
      <c r="CB30" s="460">
        <f t="shared" si="147"/>
        <v>3010000</v>
      </c>
      <c r="CC30" s="460">
        <f t="shared" si="147"/>
        <v>0</v>
      </c>
      <c r="CD30" s="460">
        <f t="shared" si="147"/>
        <v>0</v>
      </c>
      <c r="CE30" s="460">
        <f t="shared" si="147"/>
        <v>36882267</v>
      </c>
      <c r="CF30" s="460">
        <f t="shared" si="147"/>
        <v>36882267</v>
      </c>
      <c r="CG30" s="460">
        <f t="shared" si="147"/>
        <v>36882267</v>
      </c>
      <c r="CH30" s="460">
        <f t="shared" si="147"/>
        <v>36882267</v>
      </c>
      <c r="CI30" s="460">
        <f t="shared" si="147"/>
        <v>36882267</v>
      </c>
      <c r="CJ30" s="460">
        <f t="shared" si="147"/>
        <v>35625517</v>
      </c>
      <c r="CK30" s="460">
        <f t="shared" si="147"/>
        <v>2377583</v>
      </c>
      <c r="CL30" s="460">
        <f t="shared" si="147"/>
        <v>2377583</v>
      </c>
      <c r="CM30" s="460">
        <f t="shared" si="147"/>
        <v>33138725</v>
      </c>
      <c r="CN30" s="460">
        <f t="shared" si="147"/>
        <v>33138725</v>
      </c>
      <c r="CO30" s="460">
        <f t="shared" si="147"/>
        <v>28725</v>
      </c>
      <c r="CP30" s="460">
        <f t="shared" si="147"/>
        <v>28725</v>
      </c>
      <c r="CQ30" s="460">
        <f t="shared" si="147"/>
        <v>80484</v>
      </c>
      <c r="CR30" s="460">
        <f t="shared" si="147"/>
        <v>28300</v>
      </c>
      <c r="CS30" s="460">
        <f t="shared" si="147"/>
        <v>0</v>
      </c>
      <c r="CT30" s="460">
        <f t="shared" si="147"/>
        <v>0</v>
      </c>
      <c r="CU30" s="460">
        <f t="shared" si="147"/>
        <v>-52184</v>
      </c>
      <c r="CV30" s="460">
        <f t="shared" si="147"/>
        <v>0</v>
      </c>
      <c r="CW30" s="460">
        <f t="shared" si="147"/>
        <v>3010000</v>
      </c>
      <c r="CX30" s="460">
        <f t="shared" si="147"/>
        <v>0</v>
      </c>
      <c r="CY30" s="460">
        <f t="shared" si="147"/>
        <v>0</v>
      </c>
      <c r="CZ30" s="460">
        <f t="shared" si="147"/>
        <v>0</v>
      </c>
      <c r="DA30" s="460">
        <f t="shared" si="147"/>
        <v>0</v>
      </c>
      <c r="DB30" s="460">
        <f t="shared" si="147"/>
        <v>0</v>
      </c>
      <c r="DC30" s="460">
        <f t="shared" si="147"/>
        <v>0</v>
      </c>
      <c r="DD30" s="460">
        <f t="shared" si="147"/>
        <v>0</v>
      </c>
      <c r="DE30" s="460">
        <f t="shared" si="147"/>
        <v>0</v>
      </c>
      <c r="DF30" s="460">
        <f t="shared" si="147"/>
        <v>0</v>
      </c>
      <c r="DG30" s="460">
        <f t="shared" si="147"/>
        <v>0</v>
      </c>
      <c r="DH30" s="460">
        <f t="shared" si="147"/>
        <v>3010000</v>
      </c>
      <c r="DI30" s="460">
        <f t="shared" si="147"/>
        <v>38583333</v>
      </c>
      <c r="DJ30" s="460">
        <f t="shared" si="147"/>
        <v>38583333</v>
      </c>
      <c r="DK30" s="460">
        <f t="shared" si="147"/>
        <v>38583333</v>
      </c>
      <c r="DL30" s="460">
        <f t="shared" si="147"/>
        <v>38583333</v>
      </c>
      <c r="DM30" s="460">
        <f t="shared" si="147"/>
        <v>38583333</v>
      </c>
      <c r="DN30" s="460">
        <f t="shared" si="147"/>
        <v>71143000</v>
      </c>
      <c r="DO30" s="461"/>
      <c r="DP30" s="461"/>
      <c r="DQ30" s="461"/>
      <c r="DR30" s="461"/>
      <c r="DS30" s="461"/>
      <c r="DT30" s="461"/>
      <c r="DU30" s="461"/>
      <c r="DV30" s="461"/>
      <c r="DW30" s="461"/>
      <c r="DX30" s="461"/>
      <c r="DY30" s="461"/>
      <c r="DZ30" s="461"/>
      <c r="EA30" s="461"/>
      <c r="EB30" s="461"/>
      <c r="EC30" s="461"/>
      <c r="ED30" s="461"/>
      <c r="EE30" s="461"/>
      <c r="EF30" s="461"/>
      <c r="EG30" s="461"/>
      <c r="EH30" s="461"/>
      <c r="EI30" s="461"/>
      <c r="EJ30" s="461"/>
      <c r="EK30" s="461"/>
      <c r="EL30" s="461"/>
      <c r="EM30" s="462">
        <f t="shared" ref="EM30:EM32" si="148">EK30+EI30+EG30+EE30+EC30+EA30+DY30+DW30+DU30+DS30+DQ30+DO30</f>
        <v>0</v>
      </c>
      <c r="EN30" s="463">
        <f>+EN25+EN28</f>
        <v>0</v>
      </c>
      <c r="EO30" s="463">
        <f>EO25+EO28</f>
        <v>0</v>
      </c>
      <c r="EP30" s="463">
        <f>+EP25+EP28</f>
        <v>0</v>
      </c>
      <c r="EQ30" s="463"/>
      <c r="ER30" s="464">
        <f>IFERROR(DH30/DG30,0)</f>
        <v>0</v>
      </c>
      <c r="ES30" s="464">
        <f t="shared" si="138"/>
        <v>1</v>
      </c>
      <c r="ET30" s="465">
        <f t="shared" si="139"/>
        <v>1</v>
      </c>
      <c r="EU30" s="465">
        <f t="shared" si="140"/>
        <v>1</v>
      </c>
      <c r="EV30" s="466">
        <f t="shared" si="141"/>
        <v>0.6323872121202726</v>
      </c>
      <c r="EW30" s="768"/>
      <c r="EX30" s="734"/>
      <c r="EY30" s="735"/>
      <c r="EZ30" s="735"/>
      <c r="FA30" s="735"/>
      <c r="FB30" s="770"/>
      <c r="FC30" s="92"/>
      <c r="FD30" s="92"/>
    </row>
    <row r="31" spans="1:160" ht="30" customHeight="1" x14ac:dyDescent="0.25">
      <c r="A31" s="748" t="s">
        <v>361</v>
      </c>
      <c r="B31" s="756">
        <v>4</v>
      </c>
      <c r="C31" s="732" t="s">
        <v>362</v>
      </c>
      <c r="D31" s="732" t="s">
        <v>363</v>
      </c>
      <c r="E31" s="732">
        <v>199</v>
      </c>
      <c r="F31" s="78" t="s">
        <v>345</v>
      </c>
      <c r="G31" s="426">
        <f>DN31</f>
        <v>1</v>
      </c>
      <c r="H31" s="479">
        <v>0.05</v>
      </c>
      <c r="I31" s="431"/>
      <c r="J31" s="431"/>
      <c r="K31" s="436">
        <v>0.05</v>
      </c>
      <c r="L31" s="480">
        <v>0</v>
      </c>
      <c r="M31" s="436">
        <v>0.05</v>
      </c>
      <c r="N31" s="436">
        <v>0.01</v>
      </c>
      <c r="O31" s="436">
        <v>0.05</v>
      </c>
      <c r="P31" s="436">
        <v>0.02</v>
      </c>
      <c r="Q31" s="436">
        <v>0.05</v>
      </c>
      <c r="R31" s="436">
        <v>0.03</v>
      </c>
      <c r="S31" s="436">
        <v>0.05</v>
      </c>
      <c r="T31" s="480">
        <v>0.04</v>
      </c>
      <c r="U31" s="436">
        <v>0.05</v>
      </c>
      <c r="V31" s="436">
        <v>0.05</v>
      </c>
      <c r="W31" s="454">
        <f t="shared" ref="W31:W36" si="149">+H31</f>
        <v>0.05</v>
      </c>
      <c r="X31" s="454">
        <f t="shared" ref="X31:X36" si="150">+H31</f>
        <v>0.05</v>
      </c>
      <c r="Y31" s="454">
        <f t="shared" ref="Y31:Y36" si="151">+V31</f>
        <v>0.05</v>
      </c>
      <c r="Z31" s="441">
        <f t="shared" ref="Z31:AA31" si="152">+U31</f>
        <v>0.05</v>
      </c>
      <c r="AA31" s="454">
        <f t="shared" si="152"/>
        <v>0.05</v>
      </c>
      <c r="AB31" s="454">
        <v>0.2</v>
      </c>
      <c r="AC31" s="454">
        <v>0.01</v>
      </c>
      <c r="AD31" s="454">
        <v>0.01</v>
      </c>
      <c r="AE31" s="481">
        <v>0.03</v>
      </c>
      <c r="AF31" s="481">
        <v>0.03</v>
      </c>
      <c r="AG31" s="481">
        <v>0.01</v>
      </c>
      <c r="AH31" s="481">
        <v>0.01</v>
      </c>
      <c r="AI31" s="481">
        <v>0.01</v>
      </c>
      <c r="AJ31" s="481">
        <v>0.01</v>
      </c>
      <c r="AK31" s="481">
        <v>0.01</v>
      </c>
      <c r="AL31" s="481">
        <v>0.01</v>
      </c>
      <c r="AM31" s="481">
        <v>0.01</v>
      </c>
      <c r="AN31" s="481">
        <v>0.01</v>
      </c>
      <c r="AO31" s="481">
        <v>0.02</v>
      </c>
      <c r="AP31" s="436">
        <v>0.02</v>
      </c>
      <c r="AQ31" s="481">
        <v>0.01</v>
      </c>
      <c r="AR31" s="481">
        <v>0.01</v>
      </c>
      <c r="AS31" s="481">
        <v>0.01</v>
      </c>
      <c r="AT31" s="481">
        <v>0.01</v>
      </c>
      <c r="AU31" s="481">
        <v>0.01</v>
      </c>
      <c r="AV31" s="481">
        <v>0.01</v>
      </c>
      <c r="AW31" s="481">
        <v>0.01</v>
      </c>
      <c r="AX31" s="481">
        <v>0.01</v>
      </c>
      <c r="AY31" s="436">
        <v>0.01</v>
      </c>
      <c r="AZ31" s="436">
        <v>0.01</v>
      </c>
      <c r="BA31" s="454">
        <f>AY31+AW31+AU31+AS31+AO31+AM31+AK31+AI31+AG31+AE31+AC31+AQ31</f>
        <v>0.15</v>
      </c>
      <c r="BB31" s="455">
        <f t="shared" ref="BB31:BB36" si="153">AC31+AE31+AG31+AI31+AK31+AM31+AO31+AQ31+AS31+AU31+AW31+AY31</f>
        <v>0.15000000000000002</v>
      </c>
      <c r="BC31" s="454">
        <f t="shared" ref="BC31:BC36" si="154">+AN31+AD31+AF31+AH31+AJ31+AL31+AP31+AR31+AT31+AV31+AX31+AZ31</f>
        <v>0.15000000000000002</v>
      </c>
      <c r="BD31" s="454">
        <f>+BA31+AA31</f>
        <v>0.2</v>
      </c>
      <c r="BE31" s="454">
        <f>BC31+H31</f>
        <v>0.2</v>
      </c>
      <c r="BF31" s="436">
        <v>0.6</v>
      </c>
      <c r="BG31" s="436">
        <v>0.01</v>
      </c>
      <c r="BH31" s="436">
        <v>0.01</v>
      </c>
      <c r="BI31" s="436">
        <v>0.02</v>
      </c>
      <c r="BJ31" s="436">
        <v>0.02</v>
      </c>
      <c r="BK31" s="436">
        <v>0.02</v>
      </c>
      <c r="BL31" s="436">
        <v>0.02</v>
      </c>
      <c r="BM31" s="436">
        <v>0.02</v>
      </c>
      <c r="BN31" s="436">
        <v>0.02</v>
      </c>
      <c r="BO31" s="436">
        <v>0.02</v>
      </c>
      <c r="BP31" s="436">
        <v>0.02</v>
      </c>
      <c r="BQ31" s="436">
        <v>0.03</v>
      </c>
      <c r="BR31" s="436">
        <v>0.03</v>
      </c>
      <c r="BS31" s="436">
        <v>0.03</v>
      </c>
      <c r="BT31" s="436">
        <v>0.03</v>
      </c>
      <c r="BU31" s="436">
        <v>0.04</v>
      </c>
      <c r="BV31" s="436">
        <v>0.04</v>
      </c>
      <c r="BW31" s="436">
        <v>0.05</v>
      </c>
      <c r="BX31" s="436">
        <v>0.05</v>
      </c>
      <c r="BY31" s="436">
        <v>0.02</v>
      </c>
      <c r="BZ31" s="436">
        <v>0.02</v>
      </c>
      <c r="CA31" s="436">
        <v>0.1</v>
      </c>
      <c r="CB31" s="436">
        <v>0.1</v>
      </c>
      <c r="CC31" s="436">
        <v>0.04</v>
      </c>
      <c r="CD31" s="436">
        <v>0.04</v>
      </c>
      <c r="CE31" s="454">
        <v>0.4</v>
      </c>
      <c r="CF31" s="455">
        <f t="shared" ref="CF31:CF36" si="155">+BG31+BI31+BK31+BM31+BO31+BQ31+BS31+BU31+BW31+BY31+CA31+CC31</f>
        <v>0.40000000000000008</v>
      </c>
      <c r="CG31" s="454">
        <f t="shared" ref="CG31:CG36" si="156">+BR31+BH31+BJ31+BL31+BN31+BP31+BT31+BV31+BX31+BZ31+CB31+CD31</f>
        <v>0.40000000000000008</v>
      </c>
      <c r="CH31" s="454">
        <f>+CE31+BE31</f>
        <v>0.60000000000000009</v>
      </c>
      <c r="CI31" s="454">
        <f>CG31+BE31</f>
        <v>0.60000000000000009</v>
      </c>
      <c r="CJ31" s="436">
        <v>0.9</v>
      </c>
      <c r="CK31" s="436">
        <v>0.02</v>
      </c>
      <c r="CL31" s="436">
        <v>0.02</v>
      </c>
      <c r="CM31" s="436">
        <v>0.02</v>
      </c>
      <c r="CN31" s="436">
        <v>0.02</v>
      </c>
      <c r="CO31" s="436">
        <v>0.03</v>
      </c>
      <c r="CP31" s="436">
        <v>0.03</v>
      </c>
      <c r="CQ31" s="436">
        <v>0.04</v>
      </c>
      <c r="CR31" s="436">
        <v>0.04</v>
      </c>
      <c r="CS31" s="436">
        <v>0.03</v>
      </c>
      <c r="CT31" s="436">
        <v>0.04</v>
      </c>
      <c r="CU31" s="436">
        <v>0.03</v>
      </c>
      <c r="CV31" s="436">
        <v>0.03</v>
      </c>
      <c r="CW31" s="436">
        <v>0.02</v>
      </c>
      <c r="CX31" s="436">
        <v>0.02</v>
      </c>
      <c r="CY31" s="436">
        <v>0.04</v>
      </c>
      <c r="CZ31" s="436">
        <v>0.04</v>
      </c>
      <c r="DA31" s="436">
        <v>0.03</v>
      </c>
      <c r="DB31" s="436">
        <v>0.03</v>
      </c>
      <c r="DC31" s="436">
        <v>0.02</v>
      </c>
      <c r="DD31" s="436">
        <v>0.02</v>
      </c>
      <c r="DE31" s="436">
        <v>0.01</v>
      </c>
      <c r="DF31" s="437">
        <v>5.0000000000000001E-3</v>
      </c>
      <c r="DG31" s="436">
        <v>0.01</v>
      </c>
      <c r="DH31" s="437">
        <v>5.0000000000000001E-3</v>
      </c>
      <c r="DI31" s="480">
        <f t="shared" ref="DI31:DI36" si="157">DG31+DE31+DC31+DA31+CY31+CW31+CU31+CS31+CQ31+CO31+CM31+CK31</f>
        <v>0.30000000000000004</v>
      </c>
      <c r="DJ31" s="441">
        <f t="shared" ref="DJ31:DK31" si="158">CK31+CM31+CO31+CQ31+CS31+CU31+CW31+CY31+DA31+DC31+DE31+DG31</f>
        <v>0.30000000000000004</v>
      </c>
      <c r="DK31" s="441">
        <f t="shared" si="158"/>
        <v>0.30000000000000004</v>
      </c>
      <c r="DL31" s="441">
        <f>+DI31+CI31</f>
        <v>0.90000000000000013</v>
      </c>
      <c r="DM31" s="454">
        <f>DK31+CI31</f>
        <v>0.90000000000000013</v>
      </c>
      <c r="DN31" s="436">
        <v>1</v>
      </c>
      <c r="DO31" s="431"/>
      <c r="DP31" s="431"/>
      <c r="DQ31" s="431"/>
      <c r="DR31" s="431"/>
      <c r="DS31" s="431"/>
      <c r="DT31" s="431"/>
      <c r="DU31" s="431"/>
      <c r="DV31" s="431"/>
      <c r="DW31" s="431"/>
      <c r="DX31" s="431"/>
      <c r="DY31" s="431"/>
      <c r="DZ31" s="431"/>
      <c r="EA31" s="431"/>
      <c r="EB31" s="431"/>
      <c r="EC31" s="431"/>
      <c r="ED31" s="431"/>
      <c r="EE31" s="431"/>
      <c r="EF31" s="431"/>
      <c r="EG31" s="431"/>
      <c r="EH31" s="431"/>
      <c r="EI31" s="431"/>
      <c r="EJ31" s="431"/>
      <c r="EK31" s="431"/>
      <c r="EL31" s="431"/>
      <c r="EM31" s="426">
        <f t="shared" si="148"/>
        <v>0</v>
      </c>
      <c r="EN31" s="426">
        <f t="shared" ref="EN31:EO31" si="159">DO31+DQ31+DS31+DU31</f>
        <v>0</v>
      </c>
      <c r="EO31" s="454">
        <f t="shared" si="159"/>
        <v>0</v>
      </c>
      <c r="EP31" s="456">
        <f t="shared" ref="EP31:EP32" si="160">DQ31+DS31+DU31+DW31+DY31+EA31+EC31+EE31+EG31+EI31+EK31+DO31</f>
        <v>0</v>
      </c>
      <c r="EQ31" s="454"/>
      <c r="ER31" s="457">
        <f t="shared" si="23"/>
        <v>0.5</v>
      </c>
      <c r="ES31" s="457">
        <f t="shared" si="138"/>
        <v>1</v>
      </c>
      <c r="ET31" s="458">
        <f t="shared" si="139"/>
        <v>1</v>
      </c>
      <c r="EU31" s="458">
        <f>(CI31+DM31)/(G31+DL31)</f>
        <v>0.78947368421052633</v>
      </c>
      <c r="EV31" s="427">
        <f>DM31/G31</f>
        <v>0.90000000000000013</v>
      </c>
      <c r="EW31" s="767" t="s">
        <v>1371</v>
      </c>
      <c r="EX31" s="734" t="s">
        <v>178</v>
      </c>
      <c r="EY31" s="734" t="s">
        <v>178</v>
      </c>
      <c r="EZ31" s="734" t="s">
        <v>183</v>
      </c>
      <c r="FA31" s="734" t="s">
        <v>184</v>
      </c>
      <c r="FB31" s="769"/>
      <c r="FC31" s="80"/>
      <c r="FD31" s="80"/>
    </row>
    <row r="32" spans="1:160" ht="30" customHeight="1" x14ac:dyDescent="0.25">
      <c r="A32" s="694"/>
      <c r="B32" s="694"/>
      <c r="C32" s="694"/>
      <c r="D32" s="694"/>
      <c r="E32" s="694"/>
      <c r="F32" s="81" t="s">
        <v>349</v>
      </c>
      <c r="G32" s="410">
        <f>AA32+BE32+CI32+DL32+DN32</f>
        <v>476379034</v>
      </c>
      <c r="H32" s="410">
        <v>90000000</v>
      </c>
      <c r="I32" s="410"/>
      <c r="J32" s="410"/>
      <c r="K32" s="410">
        <v>90000000</v>
      </c>
      <c r="L32" s="410">
        <v>0</v>
      </c>
      <c r="M32" s="410">
        <v>90000000</v>
      </c>
      <c r="N32" s="410">
        <v>69812000</v>
      </c>
      <c r="O32" s="410">
        <v>90000000</v>
      </c>
      <c r="P32" s="410">
        <v>69812000</v>
      </c>
      <c r="Q32" s="410">
        <v>90000000</v>
      </c>
      <c r="R32" s="410">
        <v>69812000</v>
      </c>
      <c r="S32" s="410">
        <v>95347000</v>
      </c>
      <c r="T32" s="410">
        <v>69812000</v>
      </c>
      <c r="U32" s="410">
        <v>95347000</v>
      </c>
      <c r="V32" s="410">
        <v>95159000</v>
      </c>
      <c r="W32" s="410">
        <f t="shared" si="149"/>
        <v>90000000</v>
      </c>
      <c r="X32" s="410">
        <f t="shared" si="150"/>
        <v>90000000</v>
      </c>
      <c r="Y32" s="410">
        <f t="shared" si="151"/>
        <v>95159000</v>
      </c>
      <c r="Z32" s="410">
        <f t="shared" ref="Z32:AA32" si="161">+U32</f>
        <v>95347000</v>
      </c>
      <c r="AA32" s="410">
        <f t="shared" si="161"/>
        <v>95159000</v>
      </c>
      <c r="AB32" s="410">
        <v>68299000</v>
      </c>
      <c r="AC32" s="410">
        <v>0</v>
      </c>
      <c r="AD32" s="410">
        <v>0</v>
      </c>
      <c r="AE32" s="410">
        <v>0</v>
      </c>
      <c r="AF32" s="410">
        <v>0</v>
      </c>
      <c r="AG32" s="410">
        <v>64664000</v>
      </c>
      <c r="AH32" s="410">
        <v>64664000</v>
      </c>
      <c r="AI32" s="410">
        <v>0</v>
      </c>
      <c r="AJ32" s="410">
        <v>0</v>
      </c>
      <c r="AK32" s="410">
        <v>0</v>
      </c>
      <c r="AL32" s="410">
        <v>0</v>
      </c>
      <c r="AM32" s="410">
        <v>0</v>
      </c>
      <c r="AN32" s="410">
        <v>0</v>
      </c>
      <c r="AO32" s="410">
        <v>0</v>
      </c>
      <c r="AP32" s="410">
        <v>0</v>
      </c>
      <c r="AQ32" s="410">
        <v>0</v>
      </c>
      <c r="AR32" s="410">
        <v>0</v>
      </c>
      <c r="AS32" s="410">
        <v>12124500</v>
      </c>
      <c r="AT32" s="410">
        <v>0</v>
      </c>
      <c r="AU32" s="410">
        <v>0</v>
      </c>
      <c r="AV32" s="410">
        <v>0</v>
      </c>
      <c r="AW32" s="410">
        <v>0</v>
      </c>
      <c r="AX32" s="410">
        <v>12124500</v>
      </c>
      <c r="AY32" s="410">
        <v>0</v>
      </c>
      <c r="AZ32" s="410">
        <v>0</v>
      </c>
      <c r="BA32" s="410">
        <f>AY32+AW32+AU32+AS32+AQ32+AO32+AM32+AK32+AI32+AG32+AE32+AC32</f>
        <v>76788500</v>
      </c>
      <c r="BB32" s="410">
        <f t="shared" si="153"/>
        <v>76788500</v>
      </c>
      <c r="BC32" s="410">
        <f t="shared" si="154"/>
        <v>76788500</v>
      </c>
      <c r="BD32" s="410">
        <f t="shared" ref="BD32:BD33" si="162">BA32</f>
        <v>76788500</v>
      </c>
      <c r="BE32" s="410">
        <f t="shared" ref="BE32:BE35" si="163">AF32+AH32+AJ32+AL32+AD32+AN32+AP32+AR32+AT32+AV32+AX32+AZ32</f>
        <v>76788500</v>
      </c>
      <c r="BF32" s="410">
        <v>70434000</v>
      </c>
      <c r="BG32" s="410">
        <v>70434000</v>
      </c>
      <c r="BH32" s="410">
        <v>70434000</v>
      </c>
      <c r="BI32" s="410">
        <v>0</v>
      </c>
      <c r="BJ32" s="410">
        <v>0</v>
      </c>
      <c r="BK32" s="410">
        <v>0</v>
      </c>
      <c r="BL32" s="410">
        <v>0</v>
      </c>
      <c r="BM32" s="410">
        <v>0</v>
      </c>
      <c r="BN32" s="410">
        <v>0</v>
      </c>
      <c r="BO32" s="410">
        <v>0</v>
      </c>
      <c r="BP32" s="410">
        <v>0</v>
      </c>
      <c r="BQ32" s="410">
        <v>0</v>
      </c>
      <c r="BR32" s="410">
        <v>0</v>
      </c>
      <c r="BS32" s="410">
        <v>0</v>
      </c>
      <c r="BT32" s="410">
        <v>0</v>
      </c>
      <c r="BU32" s="410">
        <v>0</v>
      </c>
      <c r="BV32" s="410">
        <v>0</v>
      </c>
      <c r="BW32" s="410">
        <v>11739000</v>
      </c>
      <c r="BX32" s="410">
        <v>0</v>
      </c>
      <c r="BY32" s="410">
        <v>0</v>
      </c>
      <c r="BZ32" s="410">
        <v>11739000</v>
      </c>
      <c r="CA32" s="410">
        <v>3913000</v>
      </c>
      <c r="CB32" s="410">
        <v>3913000</v>
      </c>
      <c r="CC32" s="410">
        <v>0</v>
      </c>
      <c r="CD32" s="410">
        <v>0</v>
      </c>
      <c r="CE32" s="410">
        <f>CC32+CA32+BY32+BW32+BU32+BS32+BQ32+BO32+BM32+BK32+BI32+BG32</f>
        <v>86086000</v>
      </c>
      <c r="CF32" s="410">
        <f t="shared" si="155"/>
        <v>86086000</v>
      </c>
      <c r="CG32" s="410">
        <f t="shared" si="156"/>
        <v>86086000</v>
      </c>
      <c r="CH32" s="410">
        <f t="shared" ref="CH32:CH33" si="164">CE32</f>
        <v>86086000</v>
      </c>
      <c r="CI32" s="410">
        <f t="shared" ref="CI32:CI35" si="165">BJ32+BL32+BN32+BP32+BH32+BR32+BT32+BV32+BX32+BZ32+CB32+CD32</f>
        <v>86086000</v>
      </c>
      <c r="CJ32" s="410">
        <v>86086000</v>
      </c>
      <c r="CK32" s="410">
        <v>0</v>
      </c>
      <c r="CL32" s="410"/>
      <c r="CM32" s="410">
        <f>86086000-7826000</f>
        <v>78260000</v>
      </c>
      <c r="CN32" s="410">
        <v>78260000</v>
      </c>
      <c r="CO32" s="410"/>
      <c r="CP32" s="410"/>
      <c r="CQ32" s="410">
        <v>0</v>
      </c>
      <c r="CR32" s="410">
        <v>0</v>
      </c>
      <c r="CS32" s="410"/>
      <c r="CT32" s="410">
        <v>0</v>
      </c>
      <c r="CU32" s="410"/>
      <c r="CV32" s="410"/>
      <c r="CW32" s="410">
        <v>2869534</v>
      </c>
      <c r="CX32" s="410"/>
      <c r="CY32" s="410"/>
      <c r="CZ32" s="410">
        <v>0</v>
      </c>
      <c r="DA32" s="410"/>
      <c r="DB32" s="410"/>
      <c r="DC32" s="410"/>
      <c r="DD32" s="410"/>
      <c r="DE32" s="410"/>
      <c r="DF32" s="410"/>
      <c r="DG32" s="410">
        <v>7826000</v>
      </c>
      <c r="DH32" s="410">
        <v>10695533</v>
      </c>
      <c r="DI32" s="433">
        <f t="shared" si="157"/>
        <v>88955534</v>
      </c>
      <c r="DJ32" s="410">
        <f t="shared" ref="DJ32:DK32" si="166">CK32+CM32+CO32+CQ32+CS32+CU32+CW32+CY32+DA32+DC32+DE32+DG32</f>
        <v>88955534</v>
      </c>
      <c r="DK32" s="410">
        <f t="shared" si="166"/>
        <v>88955533</v>
      </c>
      <c r="DL32" s="433">
        <f>+DI32</f>
        <v>88955534</v>
      </c>
      <c r="DM32" s="410">
        <f t="shared" ref="DM32:DM35" si="167">CN32+CP32+CR32+CT32+CL32+CV32+CX32+CZ32+DB32+DD32+DF32+DH32</f>
        <v>88955533</v>
      </c>
      <c r="DN32" s="410">
        <v>129390000</v>
      </c>
      <c r="DO32" s="411"/>
      <c r="DP32" s="411"/>
      <c r="DQ32" s="411"/>
      <c r="DR32" s="411"/>
      <c r="DS32" s="411"/>
      <c r="DT32" s="411"/>
      <c r="DU32" s="411"/>
      <c r="DV32" s="411"/>
      <c r="DW32" s="411"/>
      <c r="DX32" s="411"/>
      <c r="DY32" s="411"/>
      <c r="DZ32" s="411"/>
      <c r="EA32" s="411"/>
      <c r="EB32" s="411"/>
      <c r="EC32" s="411"/>
      <c r="ED32" s="411"/>
      <c r="EE32" s="411"/>
      <c r="EF32" s="411"/>
      <c r="EG32" s="411"/>
      <c r="EH32" s="411"/>
      <c r="EI32" s="411"/>
      <c r="EJ32" s="411"/>
      <c r="EK32" s="411"/>
      <c r="EL32" s="411"/>
      <c r="EM32" s="402">
        <f t="shared" si="148"/>
        <v>0</v>
      </c>
      <c r="EN32" s="413">
        <f t="shared" ref="EN32:EO32" si="168">DO32+DQ32+DS32+DU32</f>
        <v>0</v>
      </c>
      <c r="EO32" s="413">
        <f t="shared" si="168"/>
        <v>0</v>
      </c>
      <c r="EP32" s="410">
        <f t="shared" si="160"/>
        <v>0</v>
      </c>
      <c r="EQ32" s="413"/>
      <c r="ER32" s="407">
        <f t="shared" si="23"/>
        <v>1.3666666240736007</v>
      </c>
      <c r="ES32" s="407">
        <f t="shared" si="138"/>
        <v>0.99999998875842844</v>
      </c>
      <c r="ET32" s="408">
        <f t="shared" si="139"/>
        <v>0.99999998875842844</v>
      </c>
      <c r="EU32" s="408">
        <f t="shared" ref="EU32:EU33" si="169">(AA32+BE32+CI32+DK32)/(Z32+BD32+CH32+DJ32)</f>
        <v>0.99945848664632575</v>
      </c>
      <c r="EV32" s="409">
        <f>(AA32+BE32+CI32+DM32)/G32</f>
        <v>0.72838854826679877</v>
      </c>
      <c r="EW32" s="735"/>
      <c r="EX32" s="735"/>
      <c r="EY32" s="735"/>
      <c r="EZ32" s="735"/>
      <c r="FA32" s="735"/>
      <c r="FB32" s="770"/>
      <c r="FC32" s="82"/>
      <c r="FD32" s="82"/>
    </row>
    <row r="33" spans="1:160" ht="30" customHeight="1" x14ac:dyDescent="0.25">
      <c r="A33" s="694"/>
      <c r="B33" s="694"/>
      <c r="C33" s="694"/>
      <c r="D33" s="694"/>
      <c r="E33" s="694"/>
      <c r="F33" s="83" t="s">
        <v>350</v>
      </c>
      <c r="G33" s="410"/>
      <c r="H33" s="410"/>
      <c r="I33" s="410"/>
      <c r="J33" s="410"/>
      <c r="K33" s="410"/>
      <c r="L33" s="410"/>
      <c r="M33" s="410"/>
      <c r="N33" s="410"/>
      <c r="O33" s="410"/>
      <c r="P33" s="410"/>
      <c r="Q33" s="410"/>
      <c r="R33" s="410"/>
      <c r="S33" s="410"/>
      <c r="T33" s="410"/>
      <c r="U33" s="410"/>
      <c r="V33" s="410"/>
      <c r="W33" s="410">
        <f t="shared" si="149"/>
        <v>0</v>
      </c>
      <c r="X33" s="410">
        <f t="shared" si="150"/>
        <v>0</v>
      </c>
      <c r="Y33" s="410">
        <f t="shared" si="151"/>
        <v>0</v>
      </c>
      <c r="Z33" s="410">
        <f t="shared" ref="Z33:AA33" si="170">+U33</f>
        <v>0</v>
      </c>
      <c r="AA33" s="410">
        <f t="shared" si="170"/>
        <v>0</v>
      </c>
      <c r="AB33" s="410"/>
      <c r="AC33" s="410"/>
      <c r="AD33" s="410"/>
      <c r="AE33" s="410"/>
      <c r="AF33" s="410"/>
      <c r="AG33" s="410"/>
      <c r="AH33" s="410"/>
      <c r="AI33" s="410">
        <v>4041500</v>
      </c>
      <c r="AJ33" s="410">
        <v>4041500</v>
      </c>
      <c r="AK33" s="410">
        <v>8083000</v>
      </c>
      <c r="AL33" s="410">
        <v>8083000</v>
      </c>
      <c r="AM33" s="410">
        <v>8130820</v>
      </c>
      <c r="AN33" s="410">
        <v>8083000</v>
      </c>
      <c r="AO33" s="410">
        <v>8130820</v>
      </c>
      <c r="AP33" s="410">
        <v>8083000</v>
      </c>
      <c r="AQ33" s="410">
        <v>8130820</v>
      </c>
      <c r="AR33" s="410">
        <v>8083000</v>
      </c>
      <c r="AS33" s="410">
        <v>8130820</v>
      </c>
      <c r="AT33" s="410">
        <v>8083000</v>
      </c>
      <c r="AU33" s="410">
        <v>8130820</v>
      </c>
      <c r="AV33" s="410">
        <v>8083000</v>
      </c>
      <c r="AW33" s="410">
        <v>8130820</v>
      </c>
      <c r="AX33" s="410">
        <v>8083000</v>
      </c>
      <c r="AY33" s="410">
        <f>8130820</f>
        <v>8130820</v>
      </c>
      <c r="AZ33" s="410">
        <v>8083000</v>
      </c>
      <c r="BA33" s="410">
        <f>AW33+AU33+AS33+AQ33+AO33+AM33+AK33+AI33+AG33+AE33+AC33+AY33</f>
        <v>69040240</v>
      </c>
      <c r="BB33" s="410">
        <f t="shared" si="153"/>
        <v>69040240</v>
      </c>
      <c r="BC33" s="410">
        <f t="shared" si="154"/>
        <v>68705500</v>
      </c>
      <c r="BD33" s="410">
        <f t="shared" si="162"/>
        <v>69040240</v>
      </c>
      <c r="BE33" s="410">
        <f t="shared" si="163"/>
        <v>68705500</v>
      </c>
      <c r="BF33" s="410"/>
      <c r="BG33" s="410">
        <v>0</v>
      </c>
      <c r="BH33" s="410">
        <v>0</v>
      </c>
      <c r="BI33" s="410">
        <v>5217334</v>
      </c>
      <c r="BJ33" s="410">
        <v>2478233</v>
      </c>
      <c r="BK33" s="410">
        <v>7826000</v>
      </c>
      <c r="BL33" s="410">
        <f>12912900-2478233</f>
        <v>10434667</v>
      </c>
      <c r="BM33" s="410">
        <v>7826000</v>
      </c>
      <c r="BN33" s="410">
        <v>7826000</v>
      </c>
      <c r="BO33" s="410">
        <v>7826000</v>
      </c>
      <c r="BP33" s="410">
        <v>7826000</v>
      </c>
      <c r="BQ33" s="410">
        <v>7826000</v>
      </c>
      <c r="BR33" s="410">
        <v>7826000</v>
      </c>
      <c r="BS33" s="410">
        <v>7826000</v>
      </c>
      <c r="BT33" s="410">
        <v>7826000</v>
      </c>
      <c r="BU33" s="410">
        <v>7826000</v>
      </c>
      <c r="BV33" s="410">
        <v>7826000</v>
      </c>
      <c r="BW33" s="410">
        <v>7826000</v>
      </c>
      <c r="BX33" s="410">
        <v>7826000</v>
      </c>
      <c r="BY33" s="410">
        <f>5217333+2608667</f>
        <v>7826000</v>
      </c>
      <c r="BZ33" s="410">
        <v>5217333</v>
      </c>
      <c r="CA33" s="410">
        <f>3913000+3913000</f>
        <v>7826000</v>
      </c>
      <c r="CB33" s="410">
        <v>6130367</v>
      </c>
      <c r="CC33" s="410">
        <f>1304333+5217333+3913000</f>
        <v>10434666</v>
      </c>
      <c r="CD33" s="410">
        <v>13173767</v>
      </c>
      <c r="CE33" s="410">
        <f>CA33+BY33+BW33+BU33+BS33+BQ33+BO33+BM33+BK33+BI33+BG33+CC33</f>
        <v>86086000</v>
      </c>
      <c r="CF33" s="410">
        <f t="shared" si="155"/>
        <v>86086000</v>
      </c>
      <c r="CG33" s="410">
        <f t="shared" si="156"/>
        <v>84390367</v>
      </c>
      <c r="CH33" s="410">
        <f t="shared" si="164"/>
        <v>86086000</v>
      </c>
      <c r="CI33" s="410">
        <f t="shared" si="165"/>
        <v>84390367</v>
      </c>
      <c r="CJ33" s="410"/>
      <c r="CK33" s="410"/>
      <c r="CL33" s="410"/>
      <c r="CM33" s="410"/>
      <c r="CN33" s="410"/>
      <c r="CO33" s="410">
        <v>5086900</v>
      </c>
      <c r="CP33" s="410">
        <v>5086900</v>
      </c>
      <c r="CQ33" s="410">
        <v>7826000</v>
      </c>
      <c r="CR33" s="410">
        <v>7434700</v>
      </c>
      <c r="CS33" s="410">
        <v>7826000</v>
      </c>
      <c r="CT33" s="410">
        <v>7826000</v>
      </c>
      <c r="CU33" s="410">
        <v>7826000</v>
      </c>
      <c r="CV33" s="410">
        <v>7826000</v>
      </c>
      <c r="CW33" s="410">
        <v>7826000</v>
      </c>
      <c r="CX33" s="410">
        <v>7826000</v>
      </c>
      <c r="CY33" s="410">
        <v>7826000</v>
      </c>
      <c r="CZ33" s="410">
        <v>7826000</v>
      </c>
      <c r="DA33" s="410">
        <v>7826000</v>
      </c>
      <c r="DB33" s="410">
        <v>7826000</v>
      </c>
      <c r="DC33" s="410">
        <v>7826000</v>
      </c>
      <c r="DD33" s="410">
        <v>7826000</v>
      </c>
      <c r="DE33" s="410">
        <v>7826000</v>
      </c>
      <c r="DF33" s="410">
        <v>7826000</v>
      </c>
      <c r="DG33" s="410">
        <f>18391100+2869534</f>
        <v>21260634</v>
      </c>
      <c r="DH33" s="410">
        <v>11739000</v>
      </c>
      <c r="DI33" s="433">
        <f t="shared" si="157"/>
        <v>88955534</v>
      </c>
      <c r="DJ33" s="410">
        <f t="shared" ref="DJ33:DK33" si="171">CK33+CM33+CO33+CQ33+CS33+CU33+CW33+CY33+DA33+DC33+DE33+DG33</f>
        <v>88955534</v>
      </c>
      <c r="DK33" s="410">
        <f t="shared" si="171"/>
        <v>79042600</v>
      </c>
      <c r="DL33" s="424">
        <f t="shared" ref="DL33" si="172">+DI33</f>
        <v>88955534</v>
      </c>
      <c r="DM33" s="410">
        <f t="shared" si="167"/>
        <v>79042600</v>
      </c>
      <c r="DN33" s="410"/>
      <c r="DO33" s="411"/>
      <c r="DP33" s="411"/>
      <c r="DQ33" s="411"/>
      <c r="DR33" s="411"/>
      <c r="DS33" s="411"/>
      <c r="DT33" s="411"/>
      <c r="DU33" s="411"/>
      <c r="DV33" s="411"/>
      <c r="DW33" s="411"/>
      <c r="DX33" s="411"/>
      <c r="DY33" s="411"/>
      <c r="DZ33" s="411"/>
      <c r="EA33" s="411"/>
      <c r="EB33" s="411"/>
      <c r="EC33" s="411"/>
      <c r="ED33" s="411"/>
      <c r="EE33" s="411"/>
      <c r="EF33" s="411"/>
      <c r="EG33" s="411"/>
      <c r="EH33" s="411"/>
      <c r="EI33" s="411"/>
      <c r="EJ33" s="411"/>
      <c r="EK33" s="411"/>
      <c r="EL33" s="411"/>
      <c r="EM33" s="402">
        <f t="shared" ref="EM33:EM36" si="173">EI33+EG33+EE33+EC33+EA33+DY33+DW33+DU33+DS33+DQ33+DO33+EK33</f>
        <v>0</v>
      </c>
      <c r="EN33" s="413">
        <f t="shared" ref="EN33:EO33" si="174">DO33+DQ33+DS33+DU33</f>
        <v>0</v>
      </c>
      <c r="EO33" s="413">
        <f t="shared" si="174"/>
        <v>0</v>
      </c>
      <c r="EP33" s="412">
        <f t="shared" ref="EP33:EP34" si="175">DQ33+DS33+DU33+DW33+DY33+EA33+EC33+EE33+EG33+EI33+EK33</f>
        <v>0</v>
      </c>
      <c r="EQ33" s="413"/>
      <c r="ER33" s="407">
        <f t="shared" si="23"/>
        <v>0.55214722195020149</v>
      </c>
      <c r="ES33" s="407">
        <f t="shared" si="138"/>
        <v>0.88856304319414237</v>
      </c>
      <c r="ET33" s="408">
        <f t="shared" si="139"/>
        <v>0.88856304319414237</v>
      </c>
      <c r="EU33" s="408">
        <f t="shared" si="169"/>
        <v>0.95106841938964271</v>
      </c>
      <c r="EV33" s="409">
        <f t="shared" ref="EV33:EV34" si="176">IFERROR((AA33+BE33+CI33+DM33)/G33,0)</f>
        <v>0</v>
      </c>
      <c r="EW33" s="735"/>
      <c r="EX33" s="735"/>
      <c r="EY33" s="735"/>
      <c r="EZ33" s="735"/>
      <c r="FA33" s="735"/>
      <c r="FB33" s="770"/>
      <c r="FC33" s="82"/>
      <c r="FD33" s="82"/>
    </row>
    <row r="34" spans="1:160" ht="30" customHeight="1" x14ac:dyDescent="0.25">
      <c r="A34" s="694"/>
      <c r="B34" s="694"/>
      <c r="C34" s="694"/>
      <c r="D34" s="694"/>
      <c r="E34" s="694"/>
      <c r="F34" s="84" t="s">
        <v>351</v>
      </c>
      <c r="G34" s="374"/>
      <c r="H34" s="434"/>
      <c r="I34" s="404"/>
      <c r="J34" s="404"/>
      <c r="K34" s="404"/>
      <c r="L34" s="404"/>
      <c r="M34" s="404"/>
      <c r="N34" s="404"/>
      <c r="O34" s="404"/>
      <c r="P34" s="404"/>
      <c r="Q34" s="404"/>
      <c r="R34" s="404"/>
      <c r="S34" s="404"/>
      <c r="T34" s="416"/>
      <c r="U34" s="404"/>
      <c r="V34" s="416"/>
      <c r="W34" s="406">
        <f t="shared" si="149"/>
        <v>0</v>
      </c>
      <c r="X34" s="406">
        <f t="shared" si="150"/>
        <v>0</v>
      </c>
      <c r="Y34" s="406">
        <f t="shared" si="151"/>
        <v>0</v>
      </c>
      <c r="Z34" s="406">
        <f t="shared" ref="Z34:AA34" si="177">+U34</f>
        <v>0</v>
      </c>
      <c r="AA34" s="406">
        <f t="shared" si="177"/>
        <v>0</v>
      </c>
      <c r="AB34" s="374"/>
      <c r="AC34" s="374"/>
      <c r="AD34" s="374"/>
      <c r="AE34" s="374"/>
      <c r="AF34" s="374"/>
      <c r="AG34" s="374"/>
      <c r="AH34" s="374"/>
      <c r="AI34" s="374"/>
      <c r="AJ34" s="374"/>
      <c r="AK34" s="404"/>
      <c r="AL34" s="404"/>
      <c r="AM34" s="404"/>
      <c r="AN34" s="404"/>
      <c r="AO34" s="404"/>
      <c r="AP34" s="404"/>
      <c r="AQ34" s="404"/>
      <c r="AR34" s="404"/>
      <c r="AS34" s="404"/>
      <c r="AT34" s="404"/>
      <c r="AU34" s="404"/>
      <c r="AV34" s="404"/>
      <c r="AW34" s="404"/>
      <c r="AX34" s="404"/>
      <c r="AY34" s="404"/>
      <c r="AZ34" s="404"/>
      <c r="BA34" s="402">
        <v>0</v>
      </c>
      <c r="BB34" s="406">
        <f t="shared" si="153"/>
        <v>0</v>
      </c>
      <c r="BC34" s="406">
        <f t="shared" si="154"/>
        <v>0</v>
      </c>
      <c r="BD34" s="406">
        <f>AC34+AE34+AG34+AI34+AK34+AM34+AO34+AQ34+AS34+AU34+AW34+AY34</f>
        <v>0</v>
      </c>
      <c r="BE34" s="406">
        <f t="shared" si="163"/>
        <v>0</v>
      </c>
      <c r="BF34" s="439"/>
      <c r="BG34" s="404"/>
      <c r="BH34" s="404"/>
      <c r="BI34" s="404"/>
      <c r="BJ34" s="404"/>
      <c r="BK34" s="404"/>
      <c r="BL34" s="404"/>
      <c r="BM34" s="404"/>
      <c r="BN34" s="404"/>
      <c r="BO34" s="404"/>
      <c r="BP34" s="404"/>
      <c r="BQ34" s="404"/>
      <c r="BR34" s="404"/>
      <c r="BS34" s="404"/>
      <c r="BT34" s="404"/>
      <c r="BU34" s="404"/>
      <c r="BV34" s="404"/>
      <c r="BW34" s="404"/>
      <c r="BX34" s="404"/>
      <c r="BY34" s="404"/>
      <c r="BZ34" s="404"/>
      <c r="CA34" s="404"/>
      <c r="CB34" s="404"/>
      <c r="CC34" s="404"/>
      <c r="CD34" s="404"/>
      <c r="CE34" s="402">
        <v>0</v>
      </c>
      <c r="CF34" s="406">
        <f t="shared" si="155"/>
        <v>0</v>
      </c>
      <c r="CG34" s="406">
        <f t="shared" si="156"/>
        <v>0</v>
      </c>
      <c r="CH34" s="406">
        <f>BG34+BI34+BK34+BM34+BO34+BQ34+BS34+BU34+BW34+BY34+CA34+CC34</f>
        <v>0</v>
      </c>
      <c r="CI34" s="406">
        <f t="shared" si="165"/>
        <v>0</v>
      </c>
      <c r="CJ34" s="404"/>
      <c r="CK34" s="404"/>
      <c r="CL34" s="404"/>
      <c r="CM34" s="404"/>
      <c r="CN34" s="404"/>
      <c r="CO34" s="404"/>
      <c r="CP34" s="404"/>
      <c r="CQ34" s="404"/>
      <c r="CR34" s="404"/>
      <c r="CS34" s="404"/>
      <c r="CT34" s="404"/>
      <c r="CU34" s="404"/>
      <c r="CV34" s="404"/>
      <c r="CW34" s="404"/>
      <c r="CX34" s="404"/>
      <c r="CY34" s="404"/>
      <c r="CZ34" s="404"/>
      <c r="DA34" s="404"/>
      <c r="DB34" s="404"/>
      <c r="DC34" s="404"/>
      <c r="DD34" s="404"/>
      <c r="DE34" s="404"/>
      <c r="DF34" s="404"/>
      <c r="DG34" s="404"/>
      <c r="DH34" s="404"/>
      <c r="DI34" s="435">
        <f t="shared" si="157"/>
        <v>0</v>
      </c>
      <c r="DJ34" s="438">
        <f t="shared" ref="DJ34:DK34" si="178">CK34+CM34+CO34+CQ34+CS34+CU34+CW34+CY34+DA34+DC34+DE34+DG34</f>
        <v>0</v>
      </c>
      <c r="DK34" s="438">
        <f t="shared" si="178"/>
        <v>0</v>
      </c>
      <c r="DL34" s="424">
        <f>+DI34+CI34</f>
        <v>0</v>
      </c>
      <c r="DM34" s="402">
        <f t="shared" si="167"/>
        <v>0</v>
      </c>
      <c r="DN34" s="404"/>
      <c r="DO34" s="404"/>
      <c r="DP34" s="404"/>
      <c r="DQ34" s="404"/>
      <c r="DR34" s="404"/>
      <c r="DS34" s="404"/>
      <c r="DT34" s="404"/>
      <c r="DU34" s="404"/>
      <c r="DV34" s="404"/>
      <c r="DW34" s="404"/>
      <c r="DX34" s="404"/>
      <c r="DY34" s="404"/>
      <c r="DZ34" s="404"/>
      <c r="EA34" s="404"/>
      <c r="EB34" s="404"/>
      <c r="EC34" s="404"/>
      <c r="ED34" s="404"/>
      <c r="EE34" s="404"/>
      <c r="EF34" s="404"/>
      <c r="EG34" s="404"/>
      <c r="EH34" s="404"/>
      <c r="EI34" s="404"/>
      <c r="EJ34" s="404"/>
      <c r="EK34" s="404"/>
      <c r="EL34" s="404"/>
      <c r="EM34" s="405">
        <f t="shared" si="173"/>
        <v>0</v>
      </c>
      <c r="EN34" s="429">
        <f t="shared" ref="EN34:EO34" si="179">DO34+DQ34+DS34+DU34</f>
        <v>0</v>
      </c>
      <c r="EO34" s="429">
        <f t="shared" si="179"/>
        <v>0</v>
      </c>
      <c r="EP34" s="430">
        <f t="shared" si="175"/>
        <v>0</v>
      </c>
      <c r="EQ34" s="416"/>
      <c r="ER34" s="407">
        <f>IFERROR(DH34/DG34,0)</f>
        <v>0</v>
      </c>
      <c r="ES34" s="407">
        <f>IFERROR(DK34/DJ34,0)</f>
        <v>0</v>
      </c>
      <c r="ET34" s="408">
        <f>IFERROR(DM34/DL34,0)</f>
        <v>0</v>
      </c>
      <c r="EU34" s="408">
        <f>IFERROR((AA34+BE34+CI34+DK34)/(Z34+BD34+CH34+DJ34),0)</f>
        <v>0</v>
      </c>
      <c r="EV34" s="409">
        <f t="shared" si="176"/>
        <v>0</v>
      </c>
      <c r="EW34" s="735"/>
      <c r="EX34" s="735"/>
      <c r="EY34" s="735"/>
      <c r="EZ34" s="735"/>
      <c r="FA34" s="735"/>
      <c r="FB34" s="770"/>
      <c r="FC34" s="80"/>
      <c r="FD34" s="80"/>
    </row>
    <row r="35" spans="1:160" ht="30" customHeight="1" x14ac:dyDescent="0.25">
      <c r="A35" s="694"/>
      <c r="B35" s="694"/>
      <c r="C35" s="694"/>
      <c r="D35" s="694"/>
      <c r="E35" s="694"/>
      <c r="F35" s="85" t="s">
        <v>352</v>
      </c>
      <c r="G35" s="410">
        <f>AA35+BE35+CI35+DL35+DN35</f>
        <v>35020867</v>
      </c>
      <c r="H35" s="410"/>
      <c r="I35" s="410"/>
      <c r="J35" s="410"/>
      <c r="K35" s="410"/>
      <c r="L35" s="410"/>
      <c r="M35" s="410"/>
      <c r="N35" s="410"/>
      <c r="O35" s="410"/>
      <c r="P35" s="410"/>
      <c r="Q35" s="410"/>
      <c r="R35" s="410"/>
      <c r="S35" s="410"/>
      <c r="T35" s="410"/>
      <c r="U35" s="410"/>
      <c r="V35" s="410"/>
      <c r="W35" s="410">
        <f t="shared" si="149"/>
        <v>0</v>
      </c>
      <c r="X35" s="410">
        <f t="shared" si="150"/>
        <v>0</v>
      </c>
      <c r="Y35" s="410">
        <f t="shared" si="151"/>
        <v>0</v>
      </c>
      <c r="Z35" s="410">
        <f t="shared" ref="Z35:AA35" si="180">+U35</f>
        <v>0</v>
      </c>
      <c r="AA35" s="410">
        <f t="shared" si="180"/>
        <v>0</v>
      </c>
      <c r="AB35" s="410">
        <v>25242234</v>
      </c>
      <c r="AC35" s="410">
        <v>7079600</v>
      </c>
      <c r="AD35" s="410">
        <v>7079600</v>
      </c>
      <c r="AE35" s="410">
        <f>16193367-AD35</f>
        <v>9113767</v>
      </c>
      <c r="AF35" s="410">
        <v>9113767</v>
      </c>
      <c r="AG35" s="410">
        <f>25242234-AD35-AF35</f>
        <v>9048867</v>
      </c>
      <c r="AH35" s="410">
        <v>9048867</v>
      </c>
      <c r="AI35" s="410">
        <v>0</v>
      </c>
      <c r="AJ35" s="410">
        <v>0</v>
      </c>
      <c r="AK35" s="410">
        <v>0</v>
      </c>
      <c r="AL35" s="410">
        <v>0</v>
      </c>
      <c r="AM35" s="410">
        <v>0</v>
      </c>
      <c r="AN35" s="410">
        <v>0</v>
      </c>
      <c r="AO35" s="410">
        <v>0</v>
      </c>
      <c r="AP35" s="410">
        <v>0</v>
      </c>
      <c r="AQ35" s="410"/>
      <c r="AR35" s="410"/>
      <c r="AS35" s="410"/>
      <c r="AT35" s="410">
        <v>0</v>
      </c>
      <c r="AU35" s="410"/>
      <c r="AV35" s="410">
        <v>0</v>
      </c>
      <c r="AW35" s="410"/>
      <c r="AX35" s="410">
        <v>0</v>
      </c>
      <c r="AY35" s="410"/>
      <c r="AZ35" s="410">
        <v>0</v>
      </c>
      <c r="BA35" s="410">
        <f>AW35+AU35+AS35+AQ35+AO35+AM35+AK35+AI35+AG35+AE35+AC35+AY35</f>
        <v>25242234</v>
      </c>
      <c r="BB35" s="410">
        <f t="shared" si="153"/>
        <v>25242234</v>
      </c>
      <c r="BC35" s="410">
        <f t="shared" si="154"/>
        <v>25242234</v>
      </c>
      <c r="BD35" s="410">
        <f>BA35</f>
        <v>25242234</v>
      </c>
      <c r="BE35" s="410">
        <f t="shared" si="163"/>
        <v>25242234</v>
      </c>
      <c r="BF35" s="410">
        <v>8083000</v>
      </c>
      <c r="BG35" s="410">
        <v>8083000</v>
      </c>
      <c r="BH35" s="410">
        <v>8083000</v>
      </c>
      <c r="BI35" s="410">
        <v>0</v>
      </c>
      <c r="BJ35" s="410">
        <v>0</v>
      </c>
      <c r="BK35" s="410">
        <v>0</v>
      </c>
      <c r="BL35" s="410">
        <v>0</v>
      </c>
      <c r="BM35" s="410">
        <v>0</v>
      </c>
      <c r="BN35" s="410">
        <v>0</v>
      </c>
      <c r="BO35" s="410">
        <v>0</v>
      </c>
      <c r="BP35" s="410"/>
      <c r="BQ35" s="410">
        <v>0</v>
      </c>
      <c r="BR35" s="410">
        <v>0</v>
      </c>
      <c r="BS35" s="410">
        <v>0</v>
      </c>
      <c r="BT35" s="410">
        <v>0</v>
      </c>
      <c r="BU35" s="410"/>
      <c r="BV35" s="410">
        <v>0</v>
      </c>
      <c r="BW35" s="410"/>
      <c r="BX35" s="410"/>
      <c r="BY35" s="410">
        <v>0</v>
      </c>
      <c r="BZ35" s="410">
        <v>0</v>
      </c>
      <c r="CA35" s="410"/>
      <c r="CB35" s="410">
        <v>0</v>
      </c>
      <c r="CC35" s="410"/>
      <c r="CD35" s="410"/>
      <c r="CE35" s="410">
        <f>CA35+BY35+BW35+BU35+BS35+BQ35+BO35+BM35+BK35+BI35+BG35+CC35</f>
        <v>8083000</v>
      </c>
      <c r="CF35" s="410">
        <f t="shared" si="155"/>
        <v>8083000</v>
      </c>
      <c r="CG35" s="410">
        <f t="shared" si="156"/>
        <v>8083000</v>
      </c>
      <c r="CH35" s="410">
        <f>CE35</f>
        <v>8083000</v>
      </c>
      <c r="CI35" s="410">
        <f t="shared" si="165"/>
        <v>8083000</v>
      </c>
      <c r="CJ35" s="410">
        <v>1695633</v>
      </c>
      <c r="CK35" s="410">
        <v>1695633</v>
      </c>
      <c r="CL35" s="410">
        <v>1695633</v>
      </c>
      <c r="CM35" s="410"/>
      <c r="CN35" s="410">
        <v>0</v>
      </c>
      <c r="CO35" s="410"/>
      <c r="CP35" s="410"/>
      <c r="CQ35" s="410"/>
      <c r="CR35" s="410">
        <v>0</v>
      </c>
      <c r="CS35" s="410"/>
      <c r="CT35" s="410">
        <v>0</v>
      </c>
      <c r="CU35" s="410"/>
      <c r="CV35" s="410"/>
      <c r="CW35" s="410"/>
      <c r="CX35" s="410"/>
      <c r="CY35" s="410"/>
      <c r="CZ35" s="410"/>
      <c r="DA35" s="410"/>
      <c r="DB35" s="410"/>
      <c r="DC35" s="410"/>
      <c r="DD35" s="410"/>
      <c r="DE35" s="410"/>
      <c r="DF35" s="410"/>
      <c r="DG35" s="410"/>
      <c r="DH35" s="410"/>
      <c r="DI35" s="433">
        <f t="shared" si="157"/>
        <v>1695633</v>
      </c>
      <c r="DJ35" s="433">
        <f t="shared" ref="DJ35:DK35" si="181">CK35+CM35+CO35+CQ35+CS35+CU35+CW35+CY35+DA35+DC35+DE35+DG35</f>
        <v>1695633</v>
      </c>
      <c r="DK35" s="433">
        <f t="shared" si="181"/>
        <v>1695633</v>
      </c>
      <c r="DL35" s="433">
        <f>+DI35</f>
        <v>1695633</v>
      </c>
      <c r="DM35" s="410">
        <f t="shared" si="167"/>
        <v>1695633</v>
      </c>
      <c r="DN35" s="410"/>
      <c r="DO35" s="411"/>
      <c r="DP35" s="411"/>
      <c r="DQ35" s="411"/>
      <c r="DR35" s="411"/>
      <c r="DS35" s="411"/>
      <c r="DT35" s="411"/>
      <c r="DU35" s="411"/>
      <c r="DV35" s="411"/>
      <c r="DW35" s="411"/>
      <c r="DX35" s="411"/>
      <c r="DY35" s="411"/>
      <c r="DZ35" s="411"/>
      <c r="EA35" s="411"/>
      <c r="EB35" s="411"/>
      <c r="EC35" s="411"/>
      <c r="ED35" s="411"/>
      <c r="EE35" s="411"/>
      <c r="EF35" s="411"/>
      <c r="EG35" s="411"/>
      <c r="EH35" s="411"/>
      <c r="EI35" s="411"/>
      <c r="EJ35" s="411"/>
      <c r="EK35" s="411"/>
      <c r="EL35" s="411"/>
      <c r="EM35" s="405">
        <f t="shared" si="173"/>
        <v>0</v>
      </c>
      <c r="EN35" s="413">
        <f t="shared" ref="EN35:EO35" si="182">DO35+DQ35+DS35+DU35</f>
        <v>0</v>
      </c>
      <c r="EO35" s="413">
        <f t="shared" si="182"/>
        <v>0</v>
      </c>
      <c r="EP35" s="412">
        <f t="shared" ref="EP35:EP36" si="183">DQ35+DS35+DU35+DW35+DY35+EA35+EC35+EE35+EG35+EI35+EK35+DO35</f>
        <v>0</v>
      </c>
      <c r="EQ35" s="413"/>
      <c r="ER35" s="407">
        <f>IFERROR(DH35/DG35,0)</f>
        <v>0</v>
      </c>
      <c r="ES35" s="407">
        <f t="shared" ref="ES35:ES40" si="184">DK35/DJ35</f>
        <v>1</v>
      </c>
      <c r="ET35" s="408">
        <f t="shared" ref="ET35:ET40" si="185">DM35/DL35</f>
        <v>1</v>
      </c>
      <c r="EU35" s="408">
        <f>(AA35+BE35+CI35+DK35)/(Z35+BD35+CH35+DJ35)</f>
        <v>1</v>
      </c>
      <c r="EV35" s="409">
        <f>(AA35+BE35+CI35+DM35)/G35</f>
        <v>1</v>
      </c>
      <c r="EW35" s="735"/>
      <c r="EX35" s="735"/>
      <c r="EY35" s="735"/>
      <c r="EZ35" s="735"/>
      <c r="FA35" s="735"/>
      <c r="FB35" s="770"/>
      <c r="FC35" s="82"/>
      <c r="FD35" s="82"/>
    </row>
    <row r="36" spans="1:160" ht="30" customHeight="1" thickBot="1" x14ac:dyDescent="0.3">
      <c r="A36" s="694"/>
      <c r="B36" s="694"/>
      <c r="C36" s="694"/>
      <c r="D36" s="694"/>
      <c r="E36" s="694"/>
      <c r="F36" s="84" t="s">
        <v>353</v>
      </c>
      <c r="G36" s="447">
        <f t="shared" ref="G36:G37" si="186">G31+G34</f>
        <v>1</v>
      </c>
      <c r="H36" s="482">
        <v>0.05</v>
      </c>
      <c r="I36" s="476"/>
      <c r="J36" s="476"/>
      <c r="K36" s="478">
        <v>0.05</v>
      </c>
      <c r="L36" s="478">
        <v>0</v>
      </c>
      <c r="M36" s="478">
        <v>0.05</v>
      </c>
      <c r="N36" s="478">
        <v>0.01</v>
      </c>
      <c r="O36" s="478">
        <v>0.05</v>
      </c>
      <c r="P36" s="478">
        <v>0.01</v>
      </c>
      <c r="Q36" s="478">
        <v>0.05</v>
      </c>
      <c r="R36" s="478">
        <v>0.03</v>
      </c>
      <c r="S36" s="478">
        <v>0.05</v>
      </c>
      <c r="T36" s="483">
        <v>0.04</v>
      </c>
      <c r="U36" s="478">
        <v>0.05</v>
      </c>
      <c r="V36" s="478">
        <v>0.05</v>
      </c>
      <c r="W36" s="450">
        <f t="shared" si="149"/>
        <v>0.05</v>
      </c>
      <c r="X36" s="450">
        <f t="shared" si="150"/>
        <v>0.05</v>
      </c>
      <c r="Y36" s="450">
        <f t="shared" si="151"/>
        <v>0.05</v>
      </c>
      <c r="Z36" s="450">
        <f t="shared" ref="Z36:AA36" si="187">+U36</f>
        <v>0.05</v>
      </c>
      <c r="AA36" s="450">
        <f t="shared" si="187"/>
        <v>0.05</v>
      </c>
      <c r="AB36" s="449">
        <v>0.2</v>
      </c>
      <c r="AC36" s="449">
        <v>0.01</v>
      </c>
      <c r="AD36" s="449">
        <v>0.01</v>
      </c>
      <c r="AE36" s="449">
        <v>0.03</v>
      </c>
      <c r="AF36" s="449">
        <v>0.03</v>
      </c>
      <c r="AG36" s="449">
        <v>0.01</v>
      </c>
      <c r="AH36" s="449">
        <v>0.01</v>
      </c>
      <c r="AI36" s="449">
        <v>0.01</v>
      </c>
      <c r="AJ36" s="449">
        <v>0.01</v>
      </c>
      <c r="AK36" s="477">
        <v>0.01</v>
      </c>
      <c r="AL36" s="477">
        <v>0.01</v>
      </c>
      <c r="AM36" s="477">
        <v>0.01</v>
      </c>
      <c r="AN36" s="477">
        <v>0.01</v>
      </c>
      <c r="AO36" s="477">
        <v>0.02</v>
      </c>
      <c r="AP36" s="477">
        <v>0.02</v>
      </c>
      <c r="AQ36" s="477">
        <v>0.01</v>
      </c>
      <c r="AR36" s="477">
        <v>0.01</v>
      </c>
      <c r="AS36" s="477">
        <v>0.01</v>
      </c>
      <c r="AT36" s="477">
        <v>0.01</v>
      </c>
      <c r="AU36" s="477">
        <v>0.01</v>
      </c>
      <c r="AV36" s="477">
        <v>0.01</v>
      </c>
      <c r="AW36" s="477">
        <v>0.01</v>
      </c>
      <c r="AX36" s="477">
        <v>0.01</v>
      </c>
      <c r="AY36" s="477">
        <v>0</v>
      </c>
      <c r="AZ36" s="477">
        <v>0.01</v>
      </c>
      <c r="BA36" s="449">
        <f>BA31+BA34</f>
        <v>0.15</v>
      </c>
      <c r="BB36" s="450">
        <f t="shared" si="153"/>
        <v>0.14000000000000001</v>
      </c>
      <c r="BC36" s="450">
        <f t="shared" si="154"/>
        <v>0.15000000000000002</v>
      </c>
      <c r="BD36" s="449">
        <f>+BA36+AA36</f>
        <v>0.2</v>
      </c>
      <c r="BE36" s="449">
        <f>BC36+H36</f>
        <v>0.2</v>
      </c>
      <c r="BF36" s="477">
        <v>0.6</v>
      </c>
      <c r="BG36" s="477">
        <f t="shared" ref="BG36:CD36" si="188">+BG31</f>
        <v>0.01</v>
      </c>
      <c r="BH36" s="477">
        <f t="shared" si="188"/>
        <v>0.01</v>
      </c>
      <c r="BI36" s="477">
        <f t="shared" si="188"/>
        <v>0.02</v>
      </c>
      <c r="BJ36" s="477">
        <f t="shared" si="188"/>
        <v>0.02</v>
      </c>
      <c r="BK36" s="477">
        <f t="shared" si="188"/>
        <v>0.02</v>
      </c>
      <c r="BL36" s="477">
        <f t="shared" si="188"/>
        <v>0.02</v>
      </c>
      <c r="BM36" s="477">
        <f t="shared" si="188"/>
        <v>0.02</v>
      </c>
      <c r="BN36" s="477">
        <f t="shared" si="188"/>
        <v>0.02</v>
      </c>
      <c r="BO36" s="477">
        <f t="shared" si="188"/>
        <v>0.02</v>
      </c>
      <c r="BP36" s="477">
        <f t="shared" si="188"/>
        <v>0.02</v>
      </c>
      <c r="BQ36" s="477">
        <f t="shared" si="188"/>
        <v>0.03</v>
      </c>
      <c r="BR36" s="477">
        <f t="shared" si="188"/>
        <v>0.03</v>
      </c>
      <c r="BS36" s="477">
        <f t="shared" si="188"/>
        <v>0.03</v>
      </c>
      <c r="BT36" s="477">
        <f t="shared" si="188"/>
        <v>0.03</v>
      </c>
      <c r="BU36" s="477">
        <f t="shared" si="188"/>
        <v>0.04</v>
      </c>
      <c r="BV36" s="477">
        <f t="shared" si="188"/>
        <v>0.04</v>
      </c>
      <c r="BW36" s="477">
        <f t="shared" si="188"/>
        <v>0.05</v>
      </c>
      <c r="BX36" s="477">
        <f t="shared" si="188"/>
        <v>0.05</v>
      </c>
      <c r="BY36" s="477">
        <f t="shared" si="188"/>
        <v>0.02</v>
      </c>
      <c r="BZ36" s="477">
        <f t="shared" si="188"/>
        <v>0.02</v>
      </c>
      <c r="CA36" s="477">
        <f t="shared" si="188"/>
        <v>0.1</v>
      </c>
      <c r="CB36" s="477">
        <f t="shared" si="188"/>
        <v>0.1</v>
      </c>
      <c r="CC36" s="477">
        <f t="shared" si="188"/>
        <v>0.04</v>
      </c>
      <c r="CD36" s="477">
        <f t="shared" si="188"/>
        <v>0.04</v>
      </c>
      <c r="CE36" s="449">
        <f>CE31+CE34</f>
        <v>0.4</v>
      </c>
      <c r="CF36" s="450">
        <f t="shared" si="155"/>
        <v>0.40000000000000008</v>
      </c>
      <c r="CG36" s="449">
        <f t="shared" si="156"/>
        <v>0.40000000000000008</v>
      </c>
      <c r="CH36" s="449">
        <f>+CE36+BE36</f>
        <v>0.60000000000000009</v>
      </c>
      <c r="CI36" s="449">
        <f>CG36+BE36</f>
        <v>0.60000000000000009</v>
      </c>
      <c r="CJ36" s="477">
        <v>0.9</v>
      </c>
      <c r="CK36" s="449">
        <f t="shared" ref="CK36:DH36" si="189">+CK31</f>
        <v>0.02</v>
      </c>
      <c r="CL36" s="449">
        <f t="shared" si="189"/>
        <v>0.02</v>
      </c>
      <c r="CM36" s="449">
        <f t="shared" si="189"/>
        <v>0.02</v>
      </c>
      <c r="CN36" s="449">
        <f t="shared" si="189"/>
        <v>0.02</v>
      </c>
      <c r="CO36" s="449">
        <f t="shared" si="189"/>
        <v>0.03</v>
      </c>
      <c r="CP36" s="449">
        <f t="shared" si="189"/>
        <v>0.03</v>
      </c>
      <c r="CQ36" s="449">
        <f t="shared" si="189"/>
        <v>0.04</v>
      </c>
      <c r="CR36" s="449">
        <f t="shared" si="189"/>
        <v>0.04</v>
      </c>
      <c r="CS36" s="449">
        <f t="shared" si="189"/>
        <v>0.03</v>
      </c>
      <c r="CT36" s="449">
        <f t="shared" si="189"/>
        <v>0.04</v>
      </c>
      <c r="CU36" s="449">
        <f t="shared" si="189"/>
        <v>0.03</v>
      </c>
      <c r="CV36" s="449">
        <f t="shared" si="189"/>
        <v>0.03</v>
      </c>
      <c r="CW36" s="449">
        <f t="shared" si="189"/>
        <v>0.02</v>
      </c>
      <c r="CX36" s="449">
        <f t="shared" si="189"/>
        <v>0.02</v>
      </c>
      <c r="CY36" s="449">
        <f t="shared" si="189"/>
        <v>0.04</v>
      </c>
      <c r="CZ36" s="449">
        <f t="shared" si="189"/>
        <v>0.04</v>
      </c>
      <c r="DA36" s="449">
        <f t="shared" si="189"/>
        <v>0.03</v>
      </c>
      <c r="DB36" s="449">
        <f t="shared" si="189"/>
        <v>0.03</v>
      </c>
      <c r="DC36" s="449">
        <f t="shared" si="189"/>
        <v>0.02</v>
      </c>
      <c r="DD36" s="449">
        <f t="shared" si="189"/>
        <v>0.02</v>
      </c>
      <c r="DE36" s="449">
        <f t="shared" si="189"/>
        <v>0.01</v>
      </c>
      <c r="DF36" s="449">
        <f t="shared" si="189"/>
        <v>5.0000000000000001E-3</v>
      </c>
      <c r="DG36" s="449">
        <f t="shared" si="189"/>
        <v>0.01</v>
      </c>
      <c r="DH36" s="449">
        <f t="shared" si="189"/>
        <v>5.0000000000000001E-3</v>
      </c>
      <c r="DI36" s="484">
        <f t="shared" si="157"/>
        <v>0.30000000000000004</v>
      </c>
      <c r="DJ36" s="485">
        <f t="shared" ref="DJ36:DK36" si="190">CK36+CM36+CO36+CQ36+CS36+CU36+CW36+CY36+DA36+DC36+DE36+DG36</f>
        <v>0.30000000000000004</v>
      </c>
      <c r="DK36" s="485">
        <f t="shared" si="190"/>
        <v>0.30000000000000004</v>
      </c>
      <c r="DL36" s="486">
        <f>+DI36+CI36</f>
        <v>0.90000000000000013</v>
      </c>
      <c r="DM36" s="485">
        <f>DK36+CI36</f>
        <v>0.90000000000000013</v>
      </c>
      <c r="DN36" s="477">
        <v>1</v>
      </c>
      <c r="DO36" s="477"/>
      <c r="DP36" s="477"/>
      <c r="DQ36" s="477"/>
      <c r="DR36" s="477"/>
      <c r="DS36" s="477"/>
      <c r="DT36" s="477"/>
      <c r="DU36" s="477"/>
      <c r="DV36" s="477"/>
      <c r="DW36" s="477"/>
      <c r="DX36" s="477"/>
      <c r="DY36" s="477"/>
      <c r="DZ36" s="477"/>
      <c r="EA36" s="477"/>
      <c r="EB36" s="477"/>
      <c r="EC36" s="477"/>
      <c r="ED36" s="477"/>
      <c r="EE36" s="477"/>
      <c r="EF36" s="477"/>
      <c r="EG36" s="477"/>
      <c r="EH36" s="477"/>
      <c r="EI36" s="477"/>
      <c r="EJ36" s="477"/>
      <c r="EK36" s="477"/>
      <c r="EL36" s="477"/>
      <c r="EM36" s="449">
        <f t="shared" si="173"/>
        <v>0</v>
      </c>
      <c r="EN36" s="477"/>
      <c r="EO36" s="472">
        <f>DP36+DR36+DT36+DV36</f>
        <v>0</v>
      </c>
      <c r="EP36" s="473">
        <f t="shared" si="183"/>
        <v>0</v>
      </c>
      <c r="EQ36" s="472"/>
      <c r="ER36" s="451">
        <f t="shared" si="23"/>
        <v>0.5</v>
      </c>
      <c r="ES36" s="451">
        <f t="shared" si="184"/>
        <v>1</v>
      </c>
      <c r="ET36" s="452">
        <f t="shared" si="185"/>
        <v>1</v>
      </c>
      <c r="EU36" s="452">
        <f>(CI36+DM36)/(G36+DL36)</f>
        <v>0.78947368421052633</v>
      </c>
      <c r="EV36" s="421">
        <f>DM36/G36</f>
        <v>0.90000000000000013</v>
      </c>
      <c r="EW36" s="735"/>
      <c r="EX36" s="735"/>
      <c r="EY36" s="735"/>
      <c r="EZ36" s="735"/>
      <c r="FA36" s="735"/>
      <c r="FB36" s="770"/>
      <c r="FC36" s="80"/>
      <c r="FD36" s="80"/>
    </row>
    <row r="37" spans="1:160" ht="34.5" customHeight="1" thickBot="1" x14ac:dyDescent="0.3">
      <c r="A37" s="694"/>
      <c r="B37" s="733"/>
      <c r="C37" s="733"/>
      <c r="D37" s="733"/>
      <c r="E37" s="733"/>
      <c r="F37" s="86" t="s">
        <v>354</v>
      </c>
      <c r="G37" s="459">
        <f t="shared" si="186"/>
        <v>511399901</v>
      </c>
      <c r="H37" s="460">
        <f t="shared" ref="H37:DN37" si="191">H32+H35</f>
        <v>90000000</v>
      </c>
      <c r="I37" s="460">
        <f t="shared" si="191"/>
        <v>0</v>
      </c>
      <c r="J37" s="460">
        <f t="shared" si="191"/>
        <v>0</v>
      </c>
      <c r="K37" s="460">
        <f t="shared" si="191"/>
        <v>90000000</v>
      </c>
      <c r="L37" s="460">
        <f t="shared" si="191"/>
        <v>0</v>
      </c>
      <c r="M37" s="460">
        <f t="shared" si="191"/>
        <v>90000000</v>
      </c>
      <c r="N37" s="460">
        <f t="shared" si="191"/>
        <v>69812000</v>
      </c>
      <c r="O37" s="460">
        <f t="shared" si="191"/>
        <v>90000000</v>
      </c>
      <c r="P37" s="460">
        <f t="shared" si="191"/>
        <v>69812000</v>
      </c>
      <c r="Q37" s="460">
        <f t="shared" si="191"/>
        <v>90000000</v>
      </c>
      <c r="R37" s="460">
        <f t="shared" si="191"/>
        <v>69812000</v>
      </c>
      <c r="S37" s="460">
        <f t="shared" si="191"/>
        <v>95347000</v>
      </c>
      <c r="T37" s="460">
        <f t="shared" si="191"/>
        <v>69812000</v>
      </c>
      <c r="U37" s="460">
        <f t="shared" si="191"/>
        <v>95347000</v>
      </c>
      <c r="V37" s="460">
        <f t="shared" si="191"/>
        <v>95159000</v>
      </c>
      <c r="W37" s="460">
        <f t="shared" si="191"/>
        <v>90000000</v>
      </c>
      <c r="X37" s="460">
        <f t="shared" si="191"/>
        <v>90000000</v>
      </c>
      <c r="Y37" s="460">
        <f t="shared" si="191"/>
        <v>95159000</v>
      </c>
      <c r="Z37" s="460">
        <f t="shared" si="191"/>
        <v>95347000</v>
      </c>
      <c r="AA37" s="460">
        <f t="shared" si="191"/>
        <v>95159000</v>
      </c>
      <c r="AB37" s="460">
        <f t="shared" si="191"/>
        <v>93541234</v>
      </c>
      <c r="AC37" s="460">
        <f t="shared" si="191"/>
        <v>7079600</v>
      </c>
      <c r="AD37" s="460">
        <f t="shared" si="191"/>
        <v>7079600</v>
      </c>
      <c r="AE37" s="460">
        <f t="shared" si="191"/>
        <v>9113767</v>
      </c>
      <c r="AF37" s="460">
        <f t="shared" si="191"/>
        <v>9113767</v>
      </c>
      <c r="AG37" s="460">
        <f t="shared" si="191"/>
        <v>73712867</v>
      </c>
      <c r="AH37" s="460">
        <f t="shared" si="191"/>
        <v>73712867</v>
      </c>
      <c r="AI37" s="460">
        <f t="shared" si="191"/>
        <v>0</v>
      </c>
      <c r="AJ37" s="460">
        <f t="shared" si="191"/>
        <v>0</v>
      </c>
      <c r="AK37" s="460">
        <f t="shared" si="191"/>
        <v>0</v>
      </c>
      <c r="AL37" s="460">
        <f t="shared" si="191"/>
        <v>0</v>
      </c>
      <c r="AM37" s="460">
        <f t="shared" si="191"/>
        <v>0</v>
      </c>
      <c r="AN37" s="460">
        <f t="shared" si="191"/>
        <v>0</v>
      </c>
      <c r="AO37" s="460">
        <f t="shared" si="191"/>
        <v>0</v>
      </c>
      <c r="AP37" s="460">
        <f t="shared" si="191"/>
        <v>0</v>
      </c>
      <c r="AQ37" s="460">
        <f t="shared" si="191"/>
        <v>0</v>
      </c>
      <c r="AR37" s="460">
        <f t="shared" si="191"/>
        <v>0</v>
      </c>
      <c r="AS37" s="460">
        <f t="shared" si="191"/>
        <v>12124500</v>
      </c>
      <c r="AT37" s="460">
        <f t="shared" si="191"/>
        <v>0</v>
      </c>
      <c r="AU37" s="460">
        <f t="shared" si="191"/>
        <v>0</v>
      </c>
      <c r="AV37" s="460">
        <f t="shared" si="191"/>
        <v>0</v>
      </c>
      <c r="AW37" s="460">
        <f t="shared" si="191"/>
        <v>0</v>
      </c>
      <c r="AX37" s="460">
        <f t="shared" si="191"/>
        <v>12124500</v>
      </c>
      <c r="AY37" s="460">
        <f t="shared" si="191"/>
        <v>0</v>
      </c>
      <c r="AZ37" s="460">
        <f t="shared" si="191"/>
        <v>0</v>
      </c>
      <c r="BA37" s="460">
        <f t="shared" si="191"/>
        <v>102030734</v>
      </c>
      <c r="BB37" s="460">
        <f t="shared" si="191"/>
        <v>102030734</v>
      </c>
      <c r="BC37" s="460">
        <f t="shared" si="191"/>
        <v>102030734</v>
      </c>
      <c r="BD37" s="460">
        <f t="shared" si="191"/>
        <v>102030734</v>
      </c>
      <c r="BE37" s="460">
        <f t="shared" si="191"/>
        <v>102030734</v>
      </c>
      <c r="BF37" s="460">
        <f t="shared" si="191"/>
        <v>78517000</v>
      </c>
      <c r="BG37" s="460">
        <f t="shared" si="191"/>
        <v>78517000</v>
      </c>
      <c r="BH37" s="460">
        <f t="shared" si="191"/>
        <v>78517000</v>
      </c>
      <c r="BI37" s="460">
        <f t="shared" si="191"/>
        <v>0</v>
      </c>
      <c r="BJ37" s="460">
        <f t="shared" si="191"/>
        <v>0</v>
      </c>
      <c r="BK37" s="460">
        <f t="shared" si="191"/>
        <v>0</v>
      </c>
      <c r="BL37" s="460">
        <f t="shared" si="191"/>
        <v>0</v>
      </c>
      <c r="BM37" s="460">
        <f t="shared" si="191"/>
        <v>0</v>
      </c>
      <c r="BN37" s="460">
        <f t="shared" si="191"/>
        <v>0</v>
      </c>
      <c r="BO37" s="460">
        <f t="shared" si="191"/>
        <v>0</v>
      </c>
      <c r="BP37" s="460">
        <f t="shared" si="191"/>
        <v>0</v>
      </c>
      <c r="BQ37" s="460">
        <f t="shared" si="191"/>
        <v>0</v>
      </c>
      <c r="BR37" s="460">
        <f t="shared" si="191"/>
        <v>0</v>
      </c>
      <c r="BS37" s="460">
        <f t="shared" si="191"/>
        <v>0</v>
      </c>
      <c r="BT37" s="460">
        <f t="shared" si="191"/>
        <v>0</v>
      </c>
      <c r="BU37" s="460">
        <f t="shared" si="191"/>
        <v>0</v>
      </c>
      <c r="BV37" s="460">
        <f t="shared" si="191"/>
        <v>0</v>
      </c>
      <c r="BW37" s="460">
        <f t="shared" si="191"/>
        <v>11739000</v>
      </c>
      <c r="BX37" s="460">
        <f t="shared" si="191"/>
        <v>0</v>
      </c>
      <c r="BY37" s="460">
        <f t="shared" si="191"/>
        <v>0</v>
      </c>
      <c r="BZ37" s="460">
        <f t="shared" si="191"/>
        <v>11739000</v>
      </c>
      <c r="CA37" s="460">
        <f t="shared" si="191"/>
        <v>3913000</v>
      </c>
      <c r="CB37" s="460">
        <f t="shared" si="191"/>
        <v>3913000</v>
      </c>
      <c r="CC37" s="460">
        <f t="shared" si="191"/>
        <v>0</v>
      </c>
      <c r="CD37" s="460">
        <f t="shared" si="191"/>
        <v>0</v>
      </c>
      <c r="CE37" s="460">
        <f t="shared" si="191"/>
        <v>94169000</v>
      </c>
      <c r="CF37" s="460">
        <f t="shared" si="191"/>
        <v>94169000</v>
      </c>
      <c r="CG37" s="460">
        <f t="shared" si="191"/>
        <v>94169000</v>
      </c>
      <c r="CH37" s="460">
        <f t="shared" si="191"/>
        <v>94169000</v>
      </c>
      <c r="CI37" s="460">
        <f t="shared" si="191"/>
        <v>94169000</v>
      </c>
      <c r="CJ37" s="460">
        <f t="shared" si="191"/>
        <v>87781633</v>
      </c>
      <c r="CK37" s="460">
        <f t="shared" si="191"/>
        <v>1695633</v>
      </c>
      <c r="CL37" s="460">
        <f t="shared" si="191"/>
        <v>1695633</v>
      </c>
      <c r="CM37" s="460">
        <f t="shared" si="191"/>
        <v>78260000</v>
      </c>
      <c r="CN37" s="460">
        <f t="shared" si="191"/>
        <v>78260000</v>
      </c>
      <c r="CO37" s="460">
        <f t="shared" si="191"/>
        <v>0</v>
      </c>
      <c r="CP37" s="460">
        <f t="shared" si="191"/>
        <v>0</v>
      </c>
      <c r="CQ37" s="460">
        <f t="shared" si="191"/>
        <v>0</v>
      </c>
      <c r="CR37" s="460">
        <f t="shared" si="191"/>
        <v>0</v>
      </c>
      <c r="CS37" s="460">
        <f t="shared" si="191"/>
        <v>0</v>
      </c>
      <c r="CT37" s="460">
        <f t="shared" si="191"/>
        <v>0</v>
      </c>
      <c r="CU37" s="460">
        <f t="shared" si="191"/>
        <v>0</v>
      </c>
      <c r="CV37" s="460">
        <f t="shared" si="191"/>
        <v>0</v>
      </c>
      <c r="CW37" s="460">
        <f t="shared" si="191"/>
        <v>2869534</v>
      </c>
      <c r="CX37" s="460">
        <f t="shared" si="191"/>
        <v>0</v>
      </c>
      <c r="CY37" s="460">
        <f t="shared" si="191"/>
        <v>0</v>
      </c>
      <c r="CZ37" s="460">
        <f t="shared" si="191"/>
        <v>0</v>
      </c>
      <c r="DA37" s="460">
        <f t="shared" si="191"/>
        <v>0</v>
      </c>
      <c r="DB37" s="460">
        <f t="shared" si="191"/>
        <v>0</v>
      </c>
      <c r="DC37" s="460">
        <f t="shared" si="191"/>
        <v>0</v>
      </c>
      <c r="DD37" s="460">
        <f t="shared" si="191"/>
        <v>0</v>
      </c>
      <c r="DE37" s="460">
        <f t="shared" si="191"/>
        <v>0</v>
      </c>
      <c r="DF37" s="460">
        <f t="shared" si="191"/>
        <v>0</v>
      </c>
      <c r="DG37" s="460">
        <f t="shared" si="191"/>
        <v>7826000</v>
      </c>
      <c r="DH37" s="460">
        <f t="shared" si="191"/>
        <v>10695533</v>
      </c>
      <c r="DI37" s="460">
        <f t="shared" si="191"/>
        <v>90651167</v>
      </c>
      <c r="DJ37" s="460">
        <f t="shared" si="191"/>
        <v>90651167</v>
      </c>
      <c r="DK37" s="460">
        <f t="shared" si="191"/>
        <v>90651166</v>
      </c>
      <c r="DL37" s="460">
        <f t="shared" si="191"/>
        <v>90651167</v>
      </c>
      <c r="DM37" s="460">
        <f t="shared" si="191"/>
        <v>90651166</v>
      </c>
      <c r="DN37" s="460">
        <f t="shared" si="191"/>
        <v>129390000</v>
      </c>
      <c r="DO37" s="461"/>
      <c r="DP37" s="461"/>
      <c r="DQ37" s="461"/>
      <c r="DR37" s="461"/>
      <c r="DS37" s="461"/>
      <c r="DT37" s="461"/>
      <c r="DU37" s="461"/>
      <c r="DV37" s="461"/>
      <c r="DW37" s="461"/>
      <c r="DX37" s="461"/>
      <c r="DY37" s="461"/>
      <c r="DZ37" s="461"/>
      <c r="EA37" s="461"/>
      <c r="EB37" s="461"/>
      <c r="EC37" s="461"/>
      <c r="ED37" s="461"/>
      <c r="EE37" s="461"/>
      <c r="EF37" s="461"/>
      <c r="EG37" s="461"/>
      <c r="EH37" s="461"/>
      <c r="EI37" s="461"/>
      <c r="EJ37" s="461"/>
      <c r="EK37" s="461"/>
      <c r="EL37" s="461"/>
      <c r="EM37" s="462">
        <f t="shared" ref="EM37:EM39" si="192">EK37+EI37+EG37+EE37+EC37+EA37+DY37+DW37+DU37+DS37+DQ37+DO37</f>
        <v>0</v>
      </c>
      <c r="EN37" s="463">
        <f>+EN32+EN35</f>
        <v>0</v>
      </c>
      <c r="EO37" s="463">
        <f>EO32+EO35</f>
        <v>0</v>
      </c>
      <c r="EP37" s="463">
        <f>+EP32+EP35</f>
        <v>0</v>
      </c>
      <c r="EQ37" s="463"/>
      <c r="ER37" s="464">
        <f t="shared" si="23"/>
        <v>1.3666666240736007</v>
      </c>
      <c r="ES37" s="464">
        <f t="shared" si="184"/>
        <v>0.99999998896870246</v>
      </c>
      <c r="ET37" s="465">
        <f t="shared" si="185"/>
        <v>0.99999998896870246</v>
      </c>
      <c r="EU37" s="465">
        <f t="shared" ref="EU37:EU40" si="193">(AA37+BE37+CI37+DK37)/(Z37+BD37+CH37+DJ37)</f>
        <v>0.99950810561882175</v>
      </c>
      <c r="EV37" s="466">
        <f t="shared" ref="EV37:EV39" si="194">(AA37+BE37+CI37+DM37)/G37</f>
        <v>0.74698860764933939</v>
      </c>
      <c r="EW37" s="768"/>
      <c r="EX37" s="735"/>
      <c r="EY37" s="735"/>
      <c r="EZ37" s="735"/>
      <c r="FA37" s="735"/>
      <c r="FB37" s="770"/>
      <c r="FC37" s="92"/>
      <c r="FD37" s="92"/>
    </row>
    <row r="38" spans="1:160" ht="30" customHeight="1" x14ac:dyDescent="0.25">
      <c r="A38" s="694"/>
      <c r="B38" s="756">
        <v>5</v>
      </c>
      <c r="C38" s="732" t="s">
        <v>364</v>
      </c>
      <c r="D38" s="732" t="s">
        <v>177</v>
      </c>
      <c r="E38" s="732">
        <v>199</v>
      </c>
      <c r="F38" s="78" t="s">
        <v>345</v>
      </c>
      <c r="G38" s="426">
        <f t="shared" ref="G38:G39" si="195">AA38+BE38+CI38+DL38+DN38</f>
        <v>800</v>
      </c>
      <c r="H38" s="453">
        <v>50</v>
      </c>
      <c r="I38" s="426"/>
      <c r="J38" s="426"/>
      <c r="K38" s="426">
        <v>50</v>
      </c>
      <c r="L38" s="426">
        <v>0</v>
      </c>
      <c r="M38" s="426">
        <v>50</v>
      </c>
      <c r="N38" s="454">
        <v>5</v>
      </c>
      <c r="O38" s="426">
        <v>50</v>
      </c>
      <c r="P38" s="454">
        <v>10</v>
      </c>
      <c r="Q38" s="426">
        <v>50</v>
      </c>
      <c r="R38" s="441">
        <v>30</v>
      </c>
      <c r="S38" s="426">
        <v>50</v>
      </c>
      <c r="T38" s="454">
        <v>45</v>
      </c>
      <c r="U38" s="426">
        <v>50</v>
      </c>
      <c r="V38" s="426">
        <v>50</v>
      </c>
      <c r="W38" s="455">
        <f t="shared" ref="W38:W43" si="196">+H38</f>
        <v>50</v>
      </c>
      <c r="X38" s="455">
        <f t="shared" ref="X38:X43" si="197">+H38</f>
        <v>50</v>
      </c>
      <c r="Y38" s="455">
        <f t="shared" ref="Y38:Y43" si="198">+V38</f>
        <v>50</v>
      </c>
      <c r="Z38" s="455">
        <f t="shared" ref="Z38:AA38" si="199">+U38</f>
        <v>50</v>
      </c>
      <c r="AA38" s="455">
        <f t="shared" si="199"/>
        <v>50</v>
      </c>
      <c r="AB38" s="426">
        <v>96</v>
      </c>
      <c r="AC38" s="426">
        <v>20</v>
      </c>
      <c r="AD38" s="426">
        <v>20</v>
      </c>
      <c r="AE38" s="426">
        <v>20</v>
      </c>
      <c r="AF38" s="454">
        <v>20</v>
      </c>
      <c r="AG38" s="426">
        <v>5</v>
      </c>
      <c r="AH38" s="454">
        <v>5</v>
      </c>
      <c r="AI38" s="454">
        <v>5</v>
      </c>
      <c r="AJ38" s="454">
        <v>5</v>
      </c>
      <c r="AK38" s="454">
        <v>5</v>
      </c>
      <c r="AL38" s="454">
        <v>5</v>
      </c>
      <c r="AM38" s="454">
        <v>2</v>
      </c>
      <c r="AN38" s="454">
        <v>2</v>
      </c>
      <c r="AO38" s="454">
        <v>2</v>
      </c>
      <c r="AP38" s="454">
        <v>2</v>
      </c>
      <c r="AQ38" s="454">
        <v>2</v>
      </c>
      <c r="AR38" s="454">
        <v>2</v>
      </c>
      <c r="AS38" s="454">
        <v>15</v>
      </c>
      <c r="AT38" s="454">
        <v>15</v>
      </c>
      <c r="AU38" s="454">
        <v>30</v>
      </c>
      <c r="AV38" s="454">
        <v>30</v>
      </c>
      <c r="AW38" s="454">
        <v>34</v>
      </c>
      <c r="AX38" s="454">
        <v>34</v>
      </c>
      <c r="AY38" s="426">
        <v>20</v>
      </c>
      <c r="AZ38" s="454">
        <v>20</v>
      </c>
      <c r="BA38" s="455">
        <f>AY38+AW38+AU38+AS38+AO38+AM38+AK38+AI38+AG38+AE38+AC38+AQ38</f>
        <v>160</v>
      </c>
      <c r="BB38" s="455">
        <f t="shared" ref="BB38:BB43" si="200">AC38+AE38+AG38+AI38+AK38+AM38+AO38+AQ38+AS38+AU38+AW38+AY38</f>
        <v>160</v>
      </c>
      <c r="BC38" s="455">
        <f t="shared" ref="BC38:BC43" si="201">+AN38+AD38+AF38+AH38+AJ38+AL38+AP38+AR38+AT38+AV38+AX38+AZ38</f>
        <v>160</v>
      </c>
      <c r="BD38" s="455">
        <f t="shared" ref="BD38:BD40" si="202">BA38</f>
        <v>160</v>
      </c>
      <c r="BE38" s="455">
        <f t="shared" ref="BE38:BE43" si="203">AF38+AH38+AJ38+AL38+AD38+AN38+AP38+AR38+AT38+AV38+AX38+AZ38</f>
        <v>160</v>
      </c>
      <c r="BF38" s="426">
        <v>190</v>
      </c>
      <c r="BG38" s="426">
        <v>0</v>
      </c>
      <c r="BH38" s="426">
        <v>0</v>
      </c>
      <c r="BI38" s="487">
        <v>20</v>
      </c>
      <c r="BJ38" s="487">
        <v>20</v>
      </c>
      <c r="BK38" s="487">
        <v>20</v>
      </c>
      <c r="BL38" s="487">
        <v>20</v>
      </c>
      <c r="BM38" s="487">
        <v>10</v>
      </c>
      <c r="BN38" s="487">
        <v>10</v>
      </c>
      <c r="BO38" s="487">
        <v>10</v>
      </c>
      <c r="BP38" s="436">
        <v>10</v>
      </c>
      <c r="BQ38" s="487">
        <v>10</v>
      </c>
      <c r="BR38" s="487">
        <v>10</v>
      </c>
      <c r="BS38" s="487">
        <v>5</v>
      </c>
      <c r="BT38" s="487">
        <v>5</v>
      </c>
      <c r="BU38" s="487">
        <v>5</v>
      </c>
      <c r="BV38" s="487">
        <v>5</v>
      </c>
      <c r="BW38" s="487">
        <v>30</v>
      </c>
      <c r="BX38" s="487">
        <v>30</v>
      </c>
      <c r="BY38" s="487">
        <v>30</v>
      </c>
      <c r="BZ38" s="487">
        <v>30</v>
      </c>
      <c r="CA38" s="487">
        <v>30</v>
      </c>
      <c r="CB38" s="487">
        <v>30</v>
      </c>
      <c r="CC38" s="487">
        <v>20</v>
      </c>
      <c r="CD38" s="487">
        <v>20</v>
      </c>
      <c r="CE38" s="455">
        <f>CC38+CA38+BY38+BW38+BS38+BQ38+BO38+BM38+BK38+BI38+BG38+BU38</f>
        <v>190</v>
      </c>
      <c r="CF38" s="455">
        <f t="shared" ref="CF38:CF43" si="204">+BG38+BI38+BK38+BM38+BO38+BQ38+BS38+BU38+BW38+BY38+CA38+CC38</f>
        <v>190</v>
      </c>
      <c r="CG38" s="455">
        <f t="shared" ref="CG38:CG43" si="205">+BR38+BH38+BJ38+BL38+BN38+BP38+BT38+BV38+BX38+BZ38+CB38+CD38</f>
        <v>190</v>
      </c>
      <c r="CH38" s="455">
        <f t="shared" ref="CH38:CH40" si="206">CE38</f>
        <v>190</v>
      </c>
      <c r="CI38" s="455">
        <f t="shared" ref="CI38:CI43" si="207">BJ38+BL38+BN38+BP38+BH38+BR38+BT38+BV38+BX38+BZ38+CB38+CD38</f>
        <v>190</v>
      </c>
      <c r="CJ38" s="426">
        <v>290</v>
      </c>
      <c r="CK38" s="426">
        <v>0</v>
      </c>
      <c r="CL38" s="426"/>
      <c r="CM38" s="426">
        <v>10</v>
      </c>
      <c r="CN38" s="426">
        <v>10</v>
      </c>
      <c r="CO38" s="426">
        <v>20</v>
      </c>
      <c r="CP38" s="426">
        <v>20</v>
      </c>
      <c r="CQ38" s="426">
        <v>30</v>
      </c>
      <c r="CR38" s="426">
        <v>30</v>
      </c>
      <c r="CS38" s="426">
        <v>30</v>
      </c>
      <c r="CT38" s="426">
        <v>30</v>
      </c>
      <c r="CU38" s="426">
        <v>30</v>
      </c>
      <c r="CV38" s="426">
        <v>30</v>
      </c>
      <c r="CW38" s="426">
        <v>10</v>
      </c>
      <c r="CX38" s="426">
        <v>10</v>
      </c>
      <c r="CY38" s="426">
        <v>10</v>
      </c>
      <c r="CZ38" s="426">
        <v>10</v>
      </c>
      <c r="DA38" s="426">
        <v>40</v>
      </c>
      <c r="DB38" s="426">
        <v>40</v>
      </c>
      <c r="DC38" s="426">
        <v>40</v>
      </c>
      <c r="DD38" s="426">
        <v>40</v>
      </c>
      <c r="DE38" s="426">
        <v>40</v>
      </c>
      <c r="DF38" s="426">
        <v>40</v>
      </c>
      <c r="DG38" s="426">
        <v>30</v>
      </c>
      <c r="DH38" s="426">
        <v>30</v>
      </c>
      <c r="DI38" s="426">
        <f t="shared" ref="DI38:DI39" si="208">DG38+DE38+DC38+DA38+CY38+CW38+CU38+CS38+CQ38+CO38+CM38+CK38</f>
        <v>290</v>
      </c>
      <c r="DJ38" s="441">
        <f t="shared" ref="DJ38:DK38" si="209">CK38+CM38+CO38+CQ38+CS38+CU38+CW38+CY38+DA38+DC38+DE38+DG38</f>
        <v>290</v>
      </c>
      <c r="DK38" s="441">
        <f t="shared" si="209"/>
        <v>290</v>
      </c>
      <c r="DL38" s="455">
        <f t="shared" ref="DL38:DL43" si="210">DI38</f>
        <v>290</v>
      </c>
      <c r="DM38" s="454">
        <f t="shared" ref="DM38:DM43" si="211">CN38+CP38+CR38+CT38+CL38+CV38+CX38+CZ38+DB38+DD38+DF38+DH38</f>
        <v>290</v>
      </c>
      <c r="DN38" s="454">
        <v>110</v>
      </c>
      <c r="DO38" s="454"/>
      <c r="DP38" s="454"/>
      <c r="DQ38" s="454"/>
      <c r="DR38" s="454"/>
      <c r="DS38" s="454"/>
      <c r="DT38" s="454"/>
      <c r="DU38" s="454"/>
      <c r="DV38" s="454"/>
      <c r="DW38" s="454"/>
      <c r="DX38" s="454"/>
      <c r="DY38" s="454"/>
      <c r="DZ38" s="454"/>
      <c r="EA38" s="454"/>
      <c r="EB38" s="454"/>
      <c r="EC38" s="454"/>
      <c r="ED38" s="454"/>
      <c r="EE38" s="454"/>
      <c r="EF38" s="454"/>
      <c r="EG38" s="426"/>
      <c r="EH38" s="426"/>
      <c r="EI38" s="426"/>
      <c r="EJ38" s="426"/>
      <c r="EK38" s="426"/>
      <c r="EL38" s="426"/>
      <c r="EM38" s="426">
        <f t="shared" si="192"/>
        <v>0</v>
      </c>
      <c r="EN38" s="426">
        <f t="shared" ref="EN38:EO38" si="212">DO38+DQ38+DS38+DU38</f>
        <v>0</v>
      </c>
      <c r="EO38" s="426">
        <f t="shared" si="212"/>
        <v>0</v>
      </c>
      <c r="EP38" s="456">
        <f t="shared" ref="EP38:EP39" si="213">DQ38+DS38+DU38+DW38+DY38+EA38+EC38+EE38+EG38+EI38+EK38+DO38</f>
        <v>0</v>
      </c>
      <c r="EQ38" s="426"/>
      <c r="ER38" s="457">
        <f t="shared" si="23"/>
        <v>1</v>
      </c>
      <c r="ES38" s="457">
        <f t="shared" si="184"/>
        <v>1</v>
      </c>
      <c r="ET38" s="458">
        <f t="shared" si="185"/>
        <v>1</v>
      </c>
      <c r="EU38" s="458">
        <f t="shared" si="193"/>
        <v>1</v>
      </c>
      <c r="EV38" s="427">
        <f t="shared" si="194"/>
        <v>0.86250000000000004</v>
      </c>
      <c r="EW38" s="771" t="s">
        <v>365</v>
      </c>
      <c r="EX38" s="734" t="s">
        <v>178</v>
      </c>
      <c r="EY38" s="734" t="s">
        <v>178</v>
      </c>
      <c r="EZ38" s="734" t="s">
        <v>366</v>
      </c>
      <c r="FA38" s="734" t="s">
        <v>184</v>
      </c>
      <c r="FB38" s="769"/>
      <c r="FC38" s="80"/>
      <c r="FD38" s="80"/>
    </row>
    <row r="39" spans="1:160" ht="30" customHeight="1" x14ac:dyDescent="0.25">
      <c r="A39" s="694"/>
      <c r="B39" s="694"/>
      <c r="C39" s="694"/>
      <c r="D39" s="694"/>
      <c r="E39" s="694"/>
      <c r="F39" s="81" t="s">
        <v>349</v>
      </c>
      <c r="G39" s="410">
        <f t="shared" si="195"/>
        <v>4113168459</v>
      </c>
      <c r="H39" s="440">
        <v>668935490</v>
      </c>
      <c r="I39" s="413"/>
      <c r="J39" s="413"/>
      <c r="K39" s="413">
        <v>668935490</v>
      </c>
      <c r="L39" s="413">
        <v>328110000</v>
      </c>
      <c r="M39" s="413">
        <v>641192490</v>
      </c>
      <c r="N39" s="413">
        <v>519353000</v>
      </c>
      <c r="O39" s="413">
        <v>641192490</v>
      </c>
      <c r="P39" s="413">
        <v>532019000</v>
      </c>
      <c r="Q39" s="413">
        <v>734428327</v>
      </c>
      <c r="R39" s="413">
        <v>532019000</v>
      </c>
      <c r="S39" s="413">
        <v>714428327</v>
      </c>
      <c r="T39" s="410">
        <v>556969163</v>
      </c>
      <c r="U39" s="410">
        <v>714428327</v>
      </c>
      <c r="V39" s="410">
        <v>706859293</v>
      </c>
      <c r="W39" s="406">
        <f t="shared" si="196"/>
        <v>668935490</v>
      </c>
      <c r="X39" s="406">
        <f t="shared" si="197"/>
        <v>668935490</v>
      </c>
      <c r="Y39" s="406">
        <f t="shared" si="198"/>
        <v>706859293</v>
      </c>
      <c r="Z39" s="410">
        <f t="shared" ref="Z39:AA39" si="214">+U39</f>
        <v>714428327</v>
      </c>
      <c r="AA39" s="410">
        <f t="shared" si="214"/>
        <v>706859293</v>
      </c>
      <c r="AB39" s="410">
        <v>699388000</v>
      </c>
      <c r="AC39" s="410">
        <v>0</v>
      </c>
      <c r="AD39" s="410">
        <v>0</v>
      </c>
      <c r="AE39" s="410">
        <v>61356000</v>
      </c>
      <c r="AF39" s="410">
        <v>61356000</v>
      </c>
      <c r="AG39" s="410">
        <f>346784000-AF39</f>
        <v>285428000</v>
      </c>
      <c r="AH39" s="410">
        <v>285428000</v>
      </c>
      <c r="AI39" s="410">
        <v>0</v>
      </c>
      <c r="AJ39" s="410">
        <v>0</v>
      </c>
      <c r="AK39" s="410">
        <f>346784000-AH39-AF39</f>
        <v>0</v>
      </c>
      <c r="AL39" s="410">
        <v>0</v>
      </c>
      <c r="AM39" s="410">
        <v>0</v>
      </c>
      <c r="AN39" s="410">
        <v>0</v>
      </c>
      <c r="AO39" s="410">
        <v>0</v>
      </c>
      <c r="AP39" s="410">
        <v>0</v>
      </c>
      <c r="AQ39" s="410">
        <v>0</v>
      </c>
      <c r="AR39" s="410">
        <v>0</v>
      </c>
      <c r="AS39" s="410">
        <v>292448222</v>
      </c>
      <c r="AT39" s="410">
        <v>208200000</v>
      </c>
      <c r="AU39" s="410">
        <v>70000000</v>
      </c>
      <c r="AV39" s="410">
        <v>13868300</v>
      </c>
      <c r="AW39" s="410">
        <v>0</v>
      </c>
      <c r="AX39" s="410">
        <v>49256100</v>
      </c>
      <c r="AY39" s="410">
        <v>580967</v>
      </c>
      <c r="AZ39" s="410">
        <v>17790500</v>
      </c>
      <c r="BA39" s="410">
        <f>AY39+AW39+AU39+AS39+AQ39+AO39+AM39+AK39+AI39+AG39+AE39+AC39</f>
        <v>709813189</v>
      </c>
      <c r="BB39" s="410">
        <f t="shared" si="200"/>
        <v>709813189</v>
      </c>
      <c r="BC39" s="410">
        <f t="shared" si="201"/>
        <v>635898900</v>
      </c>
      <c r="BD39" s="410">
        <f t="shared" si="202"/>
        <v>709813189</v>
      </c>
      <c r="BE39" s="410">
        <f t="shared" si="203"/>
        <v>635898900</v>
      </c>
      <c r="BF39" s="410">
        <v>672748000</v>
      </c>
      <c r="BG39" s="410">
        <v>490896000</v>
      </c>
      <c r="BH39" s="410">
        <v>490896000</v>
      </c>
      <c r="BI39" s="410">
        <v>41274000</v>
      </c>
      <c r="BJ39" s="410">
        <v>0</v>
      </c>
      <c r="BK39" s="410">
        <v>0</v>
      </c>
      <c r="BL39" s="410">
        <v>0</v>
      </c>
      <c r="BM39" s="410">
        <v>0</v>
      </c>
      <c r="BN39" s="410">
        <v>0</v>
      </c>
      <c r="BO39" s="410">
        <v>0</v>
      </c>
      <c r="BP39" s="410">
        <v>0</v>
      </c>
      <c r="BQ39" s="410">
        <v>0</v>
      </c>
      <c r="BR39" s="410">
        <v>40000000</v>
      </c>
      <c r="BS39" s="410">
        <v>140000000</v>
      </c>
      <c r="BT39" s="410">
        <v>141580000</v>
      </c>
      <c r="BU39" s="410">
        <v>0</v>
      </c>
      <c r="BV39" s="410">
        <v>0</v>
      </c>
      <c r="BW39" s="410">
        <v>57928800</v>
      </c>
      <c r="BX39" s="410">
        <v>95365267</v>
      </c>
      <c r="BY39" s="410">
        <v>48627934</v>
      </c>
      <c r="BZ39" s="410">
        <v>7278467</v>
      </c>
      <c r="CA39" s="410">
        <f>170704+9817396</f>
        <v>9988100</v>
      </c>
      <c r="CB39" s="410">
        <v>14081833</v>
      </c>
      <c r="CC39" s="410">
        <v>578000</v>
      </c>
      <c r="CD39" s="410">
        <v>0</v>
      </c>
      <c r="CE39" s="410">
        <f>CC39+CA39+BY39+BW39+BU39+BS39+BQ39+BO39+BM39+BK39+BI39+BG39</f>
        <v>789292834</v>
      </c>
      <c r="CF39" s="410">
        <f t="shared" si="204"/>
        <v>789292834</v>
      </c>
      <c r="CG39" s="410">
        <f t="shared" si="205"/>
        <v>789201567</v>
      </c>
      <c r="CH39" s="410">
        <f t="shared" si="206"/>
        <v>789292834</v>
      </c>
      <c r="CI39" s="410">
        <f t="shared" si="207"/>
        <v>789201567</v>
      </c>
      <c r="CJ39" s="410">
        <v>930550000</v>
      </c>
      <c r="CK39" s="410">
        <v>0</v>
      </c>
      <c r="CL39" s="410">
        <v>0</v>
      </c>
      <c r="CM39" s="410">
        <f>645326000-58666000</f>
        <v>586660000</v>
      </c>
      <c r="CN39" s="410">
        <v>586660000</v>
      </c>
      <c r="CO39" s="410">
        <v>0</v>
      </c>
      <c r="CP39" s="410">
        <v>0</v>
      </c>
      <c r="CQ39" s="410">
        <v>0</v>
      </c>
      <c r="CR39" s="410">
        <v>0</v>
      </c>
      <c r="CS39" s="410">
        <v>65131000</v>
      </c>
      <c r="CT39" s="410">
        <v>0</v>
      </c>
      <c r="CU39" s="410">
        <v>162817000</v>
      </c>
      <c r="CV39" s="410"/>
      <c r="CW39" s="410">
        <v>23010100</v>
      </c>
      <c r="CX39" s="410"/>
      <c r="CY39" s="410"/>
      <c r="CZ39" s="410">
        <v>162817000</v>
      </c>
      <c r="DA39" s="410"/>
      <c r="DB39" s="410">
        <v>65131000</v>
      </c>
      <c r="DC39" s="410">
        <v>50000000</v>
      </c>
      <c r="DD39" s="410"/>
      <c r="DE39" s="410">
        <v>-27112401</v>
      </c>
      <c r="DF39" s="410"/>
      <c r="DG39" s="410">
        <v>65942000</v>
      </c>
      <c r="DH39" s="410">
        <v>111652635</v>
      </c>
      <c r="DI39" s="410">
        <f t="shared" si="208"/>
        <v>926447699</v>
      </c>
      <c r="DJ39" s="410">
        <f t="shared" ref="DJ39:DK39" si="215">CK39+CM39+CO39+CQ39+CS39+CU39+CW39+CY39+DA39+DC39+DE39+DG39</f>
        <v>926447699</v>
      </c>
      <c r="DK39" s="410">
        <f t="shared" si="215"/>
        <v>926260635</v>
      </c>
      <c r="DL39" s="410">
        <f t="shared" si="210"/>
        <v>926447699</v>
      </c>
      <c r="DM39" s="410">
        <f t="shared" si="211"/>
        <v>926260635</v>
      </c>
      <c r="DN39" s="410">
        <v>1054761000</v>
      </c>
      <c r="DO39" s="413"/>
      <c r="DP39" s="413"/>
      <c r="DQ39" s="413"/>
      <c r="DR39" s="413"/>
      <c r="DS39" s="413"/>
      <c r="DT39" s="413"/>
      <c r="DU39" s="413"/>
      <c r="DV39" s="413"/>
      <c r="DW39" s="413"/>
      <c r="DX39" s="413"/>
      <c r="DY39" s="413"/>
      <c r="DZ39" s="413"/>
      <c r="EA39" s="413"/>
      <c r="EB39" s="413"/>
      <c r="EC39" s="413"/>
      <c r="ED39" s="413"/>
      <c r="EE39" s="413"/>
      <c r="EF39" s="413"/>
      <c r="EG39" s="413"/>
      <c r="EH39" s="413"/>
      <c r="EI39" s="413"/>
      <c r="EJ39" s="413"/>
      <c r="EK39" s="413"/>
      <c r="EL39" s="413"/>
      <c r="EM39" s="402">
        <f t="shared" si="192"/>
        <v>0</v>
      </c>
      <c r="EN39" s="413">
        <f t="shared" ref="EN39:EO39" si="216">DO39+DQ39+DS39+DU39</f>
        <v>0</v>
      </c>
      <c r="EO39" s="413">
        <f t="shared" si="216"/>
        <v>0</v>
      </c>
      <c r="EP39" s="410">
        <f t="shared" si="213"/>
        <v>0</v>
      </c>
      <c r="EQ39" s="413"/>
      <c r="ER39" s="407">
        <f t="shared" si="23"/>
        <v>1.693194549755846</v>
      </c>
      <c r="ES39" s="407">
        <f t="shared" si="184"/>
        <v>0.99979808466230535</v>
      </c>
      <c r="ET39" s="408">
        <f t="shared" si="185"/>
        <v>0.99979808466230535</v>
      </c>
      <c r="EU39" s="408">
        <f t="shared" si="193"/>
        <v>0.97396110782670275</v>
      </c>
      <c r="EV39" s="409">
        <f t="shared" si="194"/>
        <v>0.7435193635962869</v>
      </c>
      <c r="EW39" s="735"/>
      <c r="EX39" s="735"/>
      <c r="EY39" s="735"/>
      <c r="EZ39" s="735"/>
      <c r="FA39" s="735"/>
      <c r="FB39" s="770"/>
      <c r="FC39" s="87"/>
      <c r="FD39" s="87"/>
    </row>
    <row r="40" spans="1:160" ht="30" customHeight="1" x14ac:dyDescent="0.25">
      <c r="A40" s="694"/>
      <c r="B40" s="694"/>
      <c r="C40" s="694"/>
      <c r="D40" s="694"/>
      <c r="E40" s="694"/>
      <c r="F40" s="83" t="s">
        <v>350</v>
      </c>
      <c r="G40" s="410"/>
      <c r="H40" s="440"/>
      <c r="I40" s="413"/>
      <c r="J40" s="413"/>
      <c r="K40" s="413"/>
      <c r="L40" s="413"/>
      <c r="M40" s="413"/>
      <c r="N40" s="413"/>
      <c r="O40" s="413"/>
      <c r="P40" s="413"/>
      <c r="Q40" s="413"/>
      <c r="R40" s="413"/>
      <c r="S40" s="413"/>
      <c r="T40" s="410"/>
      <c r="U40" s="410"/>
      <c r="V40" s="410"/>
      <c r="W40" s="406">
        <f t="shared" si="196"/>
        <v>0</v>
      </c>
      <c r="X40" s="406">
        <f t="shared" si="197"/>
        <v>0</v>
      </c>
      <c r="Y40" s="406">
        <f t="shared" si="198"/>
        <v>0</v>
      </c>
      <c r="Z40" s="410">
        <f t="shared" ref="Z40:AA40" si="217">+U40</f>
        <v>0</v>
      </c>
      <c r="AA40" s="410">
        <f t="shared" si="217"/>
        <v>0</v>
      </c>
      <c r="AB40" s="410"/>
      <c r="AC40" s="410"/>
      <c r="AD40" s="410"/>
      <c r="AE40" s="410"/>
      <c r="AF40" s="410"/>
      <c r="AG40" s="410"/>
      <c r="AH40" s="410"/>
      <c r="AI40" s="410">
        <v>25354666</v>
      </c>
      <c r="AJ40" s="410">
        <v>25354666</v>
      </c>
      <c r="AK40" s="410">
        <v>43348000</v>
      </c>
      <c r="AL40" s="410">
        <v>43348000</v>
      </c>
      <c r="AM40" s="410">
        <v>43602990</v>
      </c>
      <c r="AN40" s="410">
        <v>43348000</v>
      </c>
      <c r="AO40" s="410">
        <v>43602990</v>
      </c>
      <c r="AP40" s="410">
        <v>43348000</v>
      </c>
      <c r="AQ40" s="410">
        <v>43602990</v>
      </c>
      <c r="AR40" s="410">
        <v>43348000</v>
      </c>
      <c r="AS40" s="410">
        <v>43602990</v>
      </c>
      <c r="AT40" s="410">
        <v>43348000</v>
      </c>
      <c r="AU40" s="410">
        <v>43602990</v>
      </c>
      <c r="AV40" s="410">
        <v>68100667</v>
      </c>
      <c r="AW40" s="410">
        <v>43602990</v>
      </c>
      <c r="AX40" s="410">
        <v>109972000</v>
      </c>
      <c r="AY40" s="410">
        <v>16767216</v>
      </c>
      <c r="AZ40" s="410">
        <v>99633600</v>
      </c>
      <c r="BA40" s="410">
        <f>AW40+AU40+AS40+AQ40+AO40+AM40+AK40+AI40+AG40+AE40+AC40+AY40</f>
        <v>347087822</v>
      </c>
      <c r="BB40" s="410">
        <f t="shared" si="200"/>
        <v>347087822</v>
      </c>
      <c r="BC40" s="410">
        <f t="shared" si="201"/>
        <v>519800933</v>
      </c>
      <c r="BD40" s="410">
        <f t="shared" si="202"/>
        <v>347087822</v>
      </c>
      <c r="BE40" s="410">
        <f t="shared" si="203"/>
        <v>519800933</v>
      </c>
      <c r="BF40" s="410"/>
      <c r="BG40" s="410">
        <v>0</v>
      </c>
      <c r="BH40" s="410">
        <v>0</v>
      </c>
      <c r="BI40" s="410">
        <v>34425498</v>
      </c>
      <c r="BJ40" s="410">
        <v>7337300</v>
      </c>
      <c r="BK40" s="410">
        <v>58666000</v>
      </c>
      <c r="BL40" s="410">
        <f>68435501-7337300</f>
        <v>61098201</v>
      </c>
      <c r="BM40" s="410">
        <v>58666000</v>
      </c>
      <c r="BN40" s="410">
        <v>58666000</v>
      </c>
      <c r="BO40" s="410">
        <v>58666000</v>
      </c>
      <c r="BP40" s="410">
        <v>58666000</v>
      </c>
      <c r="BQ40" s="410">
        <v>58666000</v>
      </c>
      <c r="BR40" s="410">
        <v>58666000</v>
      </c>
      <c r="BS40" s="410">
        <v>92331151</v>
      </c>
      <c r="BT40" s="410">
        <v>55656000</v>
      </c>
      <c r="BU40" s="410">
        <v>58666000</v>
      </c>
      <c r="BV40" s="410">
        <v>61676000</v>
      </c>
      <c r="BW40" s="410">
        <f>58666000</f>
        <v>58666000</v>
      </c>
      <c r="BX40" s="410">
        <v>90742716.87474829</v>
      </c>
      <c r="BY40" s="410">
        <f>30343668+9509534</f>
        <v>39853202</v>
      </c>
      <c r="BZ40" s="410">
        <v>100968295.12525171</v>
      </c>
      <c r="CA40" s="410">
        <f>21342334+45601468</f>
        <v>66943802</v>
      </c>
      <c r="CB40" s="410">
        <v>82573000</v>
      </c>
      <c r="CC40" s="410">
        <f>142309349+51445732+170704+9817396</f>
        <v>203743181</v>
      </c>
      <c r="CD40" s="410">
        <v>97404991</v>
      </c>
      <c r="CE40" s="410">
        <f>CA40+BY40+BW40+BU40+BS40+BQ40+BO40+BM40+BK40+BI40+BG40+CC40</f>
        <v>789292834</v>
      </c>
      <c r="CF40" s="410">
        <f t="shared" si="204"/>
        <v>789292834</v>
      </c>
      <c r="CG40" s="410">
        <f t="shared" si="205"/>
        <v>733454504</v>
      </c>
      <c r="CH40" s="410">
        <f t="shared" si="206"/>
        <v>789292834</v>
      </c>
      <c r="CI40" s="410">
        <f t="shared" si="207"/>
        <v>733454504</v>
      </c>
      <c r="CJ40" s="410"/>
      <c r="CK40" s="410">
        <v>0</v>
      </c>
      <c r="CL40" s="410">
        <v>0</v>
      </c>
      <c r="CM40" s="410">
        <v>0</v>
      </c>
      <c r="CN40" s="410">
        <v>0</v>
      </c>
      <c r="CO40" s="410">
        <v>27365765</v>
      </c>
      <c r="CP40" s="410">
        <v>27365765</v>
      </c>
      <c r="CQ40" s="410">
        <v>58666000</v>
      </c>
      <c r="CR40" s="410">
        <v>54085201</v>
      </c>
      <c r="CS40" s="410">
        <v>58666000</v>
      </c>
      <c r="CT40" s="410">
        <v>61676000</v>
      </c>
      <c r="CU40" s="410">
        <v>58666000</v>
      </c>
      <c r="CV40" s="410">
        <v>54257000</v>
      </c>
      <c r="CW40" s="410">
        <v>83442500</v>
      </c>
      <c r="CX40" s="410">
        <v>63075000</v>
      </c>
      <c r="CY40" s="410">
        <v>108219000</v>
      </c>
      <c r="CZ40" s="410">
        <v>52706200</v>
      </c>
      <c r="DA40" s="410">
        <v>108219000</v>
      </c>
      <c r="DB40" s="410">
        <v>65357101</v>
      </c>
      <c r="DC40" s="410">
        <f>72824000+24776500</f>
        <v>97600500</v>
      </c>
      <c r="DD40" s="410">
        <v>95431614</v>
      </c>
      <c r="DE40" s="410">
        <v>72824000</v>
      </c>
      <c r="DF40" s="410">
        <v>92466800</v>
      </c>
      <c r="DG40" s="410">
        <f>256881235-4102301</f>
        <v>252778934</v>
      </c>
      <c r="DH40" s="410">
        <v>161445599</v>
      </c>
      <c r="DI40" s="410">
        <f t="shared" ref="DI40:DI43" si="218">DE40+DC40+DA40+CY40+CW40+CU40+CS40+CQ40+CO40+CM40+CK40+DG40</f>
        <v>926447699</v>
      </c>
      <c r="DJ40" s="410">
        <f t="shared" ref="DJ40:DK40" si="219">CK40+CM40+CO40+CQ40+CS40+CU40+CW40+CY40+DA40+DC40+DE40+DG40</f>
        <v>926447699</v>
      </c>
      <c r="DK40" s="410">
        <f t="shared" si="219"/>
        <v>727866280</v>
      </c>
      <c r="DL40" s="410">
        <f t="shared" si="210"/>
        <v>926447699</v>
      </c>
      <c r="DM40" s="410">
        <f t="shared" si="211"/>
        <v>727866280</v>
      </c>
      <c r="DN40" s="410"/>
      <c r="DO40" s="413"/>
      <c r="DP40" s="413"/>
      <c r="DQ40" s="413"/>
      <c r="DR40" s="413"/>
      <c r="DS40" s="413"/>
      <c r="DT40" s="413"/>
      <c r="DU40" s="413"/>
      <c r="DV40" s="413"/>
      <c r="DW40" s="413"/>
      <c r="DX40" s="413"/>
      <c r="DY40" s="413"/>
      <c r="DZ40" s="413"/>
      <c r="EA40" s="413"/>
      <c r="EB40" s="413"/>
      <c r="EC40" s="413"/>
      <c r="ED40" s="413"/>
      <c r="EE40" s="413"/>
      <c r="EF40" s="413"/>
      <c r="EG40" s="413"/>
      <c r="EH40" s="413"/>
      <c r="EI40" s="413"/>
      <c r="EJ40" s="413"/>
      <c r="EK40" s="413"/>
      <c r="EL40" s="413"/>
      <c r="EM40" s="402">
        <f t="shared" ref="EM40:EM43" si="220">EI40+EG40+EE40+EC40+EA40+DY40+DW40+DU40+DS40+DQ40+DO40+EK40</f>
        <v>0</v>
      </c>
      <c r="EN40" s="413">
        <f t="shared" ref="EN40:EO40" si="221">DO40+DQ40+DS40+DU40</f>
        <v>0</v>
      </c>
      <c r="EO40" s="413">
        <f t="shared" si="221"/>
        <v>0</v>
      </c>
      <c r="EP40" s="412">
        <f t="shared" ref="EP40:EP41" si="222">DQ40+DS40+DU40+DW40+DY40+EA40+EC40+EE40+EG40+EI40+EK40</f>
        <v>0</v>
      </c>
      <c r="EQ40" s="413"/>
      <c r="ER40" s="407">
        <f t="shared" si="23"/>
        <v>0.63868296477585429</v>
      </c>
      <c r="ES40" s="407">
        <f t="shared" si="184"/>
        <v>0.78565285529410123</v>
      </c>
      <c r="ET40" s="408">
        <f t="shared" si="185"/>
        <v>0.78565285529410123</v>
      </c>
      <c r="EU40" s="408">
        <f t="shared" si="193"/>
        <v>0.96039096621783637</v>
      </c>
      <c r="EV40" s="409">
        <f t="shared" ref="EV40:EV41" si="223">IFERROR((AA40+BE40+CI40+DM40)/G40,0)</f>
        <v>0</v>
      </c>
      <c r="EW40" s="735"/>
      <c r="EX40" s="735"/>
      <c r="EY40" s="735"/>
      <c r="EZ40" s="735"/>
      <c r="FA40" s="735"/>
      <c r="FB40" s="770"/>
      <c r="FC40" s="87"/>
      <c r="FD40" s="87"/>
    </row>
    <row r="41" spans="1:160" ht="30" customHeight="1" x14ac:dyDescent="0.25">
      <c r="A41" s="694"/>
      <c r="B41" s="694"/>
      <c r="C41" s="694"/>
      <c r="D41" s="694"/>
      <c r="E41" s="694"/>
      <c r="F41" s="84" t="s">
        <v>351</v>
      </c>
      <c r="G41" s="374"/>
      <c r="H41" s="415"/>
      <c r="I41" s="416"/>
      <c r="J41" s="416"/>
      <c r="K41" s="416"/>
      <c r="L41" s="416"/>
      <c r="M41" s="416"/>
      <c r="N41" s="416"/>
      <c r="O41" s="416"/>
      <c r="P41" s="416"/>
      <c r="Q41" s="416"/>
      <c r="R41" s="416"/>
      <c r="S41" s="416"/>
      <c r="T41" s="416"/>
      <c r="U41" s="416"/>
      <c r="V41" s="416"/>
      <c r="W41" s="406">
        <f t="shared" si="196"/>
        <v>0</v>
      </c>
      <c r="X41" s="406">
        <f t="shared" si="197"/>
        <v>0</v>
      </c>
      <c r="Y41" s="406">
        <f t="shared" si="198"/>
        <v>0</v>
      </c>
      <c r="Z41" s="406">
        <f t="shared" ref="Z41:AA41" si="224">+U41</f>
        <v>0</v>
      </c>
      <c r="AA41" s="406">
        <f t="shared" si="224"/>
        <v>0</v>
      </c>
      <c r="AB41" s="374"/>
      <c r="AC41" s="374"/>
      <c r="AD41" s="374"/>
      <c r="AE41" s="374"/>
      <c r="AF41" s="374"/>
      <c r="AG41" s="374"/>
      <c r="AH41" s="374"/>
      <c r="AI41" s="374"/>
      <c r="AJ41" s="374"/>
      <c r="AK41" s="416"/>
      <c r="AL41" s="416"/>
      <c r="AM41" s="416"/>
      <c r="AN41" s="416"/>
      <c r="AO41" s="418"/>
      <c r="AP41" s="416"/>
      <c r="AQ41" s="416"/>
      <c r="AR41" s="416"/>
      <c r="AS41" s="416"/>
      <c r="AT41" s="416"/>
      <c r="AU41" s="416"/>
      <c r="AV41" s="416"/>
      <c r="AW41" s="416"/>
      <c r="AX41" s="416"/>
      <c r="AY41" s="418"/>
      <c r="AZ41" s="413"/>
      <c r="BA41" s="402">
        <v>0</v>
      </c>
      <c r="BB41" s="406">
        <f t="shared" si="200"/>
        <v>0</v>
      </c>
      <c r="BC41" s="406">
        <f t="shared" si="201"/>
        <v>0</v>
      </c>
      <c r="BD41" s="406">
        <f>AC41+AE41+AG41+AI41+AK41+AM41+AO41+AQ41+AS41+AU41+AW41+AY41</f>
        <v>0</v>
      </c>
      <c r="BE41" s="406">
        <f t="shared" si="203"/>
        <v>0</v>
      </c>
      <c r="BF41" s="416"/>
      <c r="BG41" s="416"/>
      <c r="BH41" s="416"/>
      <c r="BI41" s="416"/>
      <c r="BJ41" s="429"/>
      <c r="BK41" s="416"/>
      <c r="BL41" s="416"/>
      <c r="BM41" s="416"/>
      <c r="BN41" s="416"/>
      <c r="BO41" s="416"/>
      <c r="BP41" s="416"/>
      <c r="BQ41" s="416"/>
      <c r="BR41" s="416"/>
      <c r="BS41" s="416"/>
      <c r="BT41" s="416"/>
      <c r="BU41" s="416"/>
      <c r="BV41" s="416"/>
      <c r="BW41" s="416"/>
      <c r="BX41" s="416"/>
      <c r="BY41" s="416"/>
      <c r="BZ41" s="416"/>
      <c r="CA41" s="416"/>
      <c r="CB41" s="416"/>
      <c r="CC41" s="416"/>
      <c r="CD41" s="416"/>
      <c r="CE41" s="402">
        <v>0</v>
      </c>
      <c r="CF41" s="406">
        <f t="shared" si="204"/>
        <v>0</v>
      </c>
      <c r="CG41" s="406">
        <f t="shared" si="205"/>
        <v>0</v>
      </c>
      <c r="CH41" s="406">
        <f>BG41+BI41+BK41+BM41+BO41+BQ41+BS41+BU41+BW41+BY41+CA41+CC41</f>
        <v>0</v>
      </c>
      <c r="CI41" s="406">
        <f t="shared" si="207"/>
        <v>0</v>
      </c>
      <c r="CJ41" s="416"/>
      <c r="CK41" s="416"/>
      <c r="CL41" s="416"/>
      <c r="CM41" s="416"/>
      <c r="CN41" s="416"/>
      <c r="CO41" s="416"/>
      <c r="CP41" s="416"/>
      <c r="CQ41" s="416"/>
      <c r="CR41" s="416"/>
      <c r="CS41" s="416"/>
      <c r="CT41" s="416"/>
      <c r="CU41" s="416"/>
      <c r="CV41" s="416"/>
      <c r="CW41" s="416"/>
      <c r="CX41" s="416"/>
      <c r="CY41" s="416"/>
      <c r="CZ41" s="416"/>
      <c r="DA41" s="416"/>
      <c r="DB41" s="416"/>
      <c r="DC41" s="416"/>
      <c r="DD41" s="416"/>
      <c r="DE41" s="416"/>
      <c r="DF41" s="416"/>
      <c r="DG41" s="416"/>
      <c r="DH41" s="416"/>
      <c r="DI41" s="402">
        <f t="shared" si="218"/>
        <v>0</v>
      </c>
      <c r="DJ41" s="438">
        <f t="shared" ref="DJ41:DK41" si="225">CK41+CM41+CO41+CQ41+CS41+CU41+CW41+CY41+DA41+DC41+DE41+DG41</f>
        <v>0</v>
      </c>
      <c r="DK41" s="438">
        <f t="shared" si="225"/>
        <v>0</v>
      </c>
      <c r="DL41" s="402">
        <f t="shared" si="210"/>
        <v>0</v>
      </c>
      <c r="DM41" s="402">
        <f t="shared" si="211"/>
        <v>0</v>
      </c>
      <c r="DN41" s="416"/>
      <c r="DO41" s="416"/>
      <c r="DP41" s="416"/>
      <c r="DQ41" s="416"/>
      <c r="DR41" s="416"/>
      <c r="DS41" s="416"/>
      <c r="DT41" s="416"/>
      <c r="DU41" s="416"/>
      <c r="DV41" s="416"/>
      <c r="DW41" s="416"/>
      <c r="DX41" s="416"/>
      <c r="DY41" s="416"/>
      <c r="DZ41" s="416"/>
      <c r="EA41" s="416"/>
      <c r="EB41" s="416"/>
      <c r="EC41" s="416"/>
      <c r="ED41" s="416"/>
      <c r="EE41" s="416"/>
      <c r="EF41" s="416"/>
      <c r="EG41" s="416"/>
      <c r="EH41" s="416"/>
      <c r="EI41" s="416"/>
      <c r="EJ41" s="416"/>
      <c r="EK41" s="416"/>
      <c r="EL41" s="416"/>
      <c r="EM41" s="405">
        <f t="shared" si="220"/>
        <v>0</v>
      </c>
      <c r="EN41" s="429">
        <f t="shared" ref="EN41:EO41" si="226">DO41+DQ41+DS41+DU41</f>
        <v>0</v>
      </c>
      <c r="EO41" s="429">
        <f t="shared" si="226"/>
        <v>0</v>
      </c>
      <c r="EP41" s="430">
        <f t="shared" si="222"/>
        <v>0</v>
      </c>
      <c r="EQ41" s="405"/>
      <c r="ER41" s="407">
        <f>IFERROR(DH41/DG41,0)</f>
        <v>0</v>
      </c>
      <c r="ES41" s="407">
        <f>IFERROR(DK41/DJ41,0)</f>
        <v>0</v>
      </c>
      <c r="ET41" s="408">
        <f>IFERROR(DM41/DL41,0)</f>
        <v>0</v>
      </c>
      <c r="EU41" s="408">
        <f>IFERROR((AA41+BE41+CI41+DK41)/(Z41+BD41+CH41+DJ41),0)</f>
        <v>0</v>
      </c>
      <c r="EV41" s="409">
        <f t="shared" si="223"/>
        <v>0</v>
      </c>
      <c r="EW41" s="735"/>
      <c r="EX41" s="735"/>
      <c r="EY41" s="735"/>
      <c r="EZ41" s="735"/>
      <c r="FA41" s="735"/>
      <c r="FB41" s="770"/>
      <c r="FC41" s="80"/>
      <c r="FD41" s="80"/>
    </row>
    <row r="42" spans="1:160" ht="30" customHeight="1" x14ac:dyDescent="0.25">
      <c r="A42" s="694"/>
      <c r="B42" s="694"/>
      <c r="C42" s="694"/>
      <c r="D42" s="694"/>
      <c r="E42" s="694"/>
      <c r="F42" s="85" t="s">
        <v>352</v>
      </c>
      <c r="G42" s="410">
        <f>AA42+BE42+CI42+DL42+DN42</f>
        <v>420899448</v>
      </c>
      <c r="H42" s="440"/>
      <c r="I42" s="413"/>
      <c r="J42" s="413"/>
      <c r="K42" s="413"/>
      <c r="L42" s="413"/>
      <c r="M42" s="413"/>
      <c r="N42" s="413"/>
      <c r="O42" s="413"/>
      <c r="P42" s="413"/>
      <c r="Q42" s="413"/>
      <c r="R42" s="413"/>
      <c r="S42" s="413"/>
      <c r="T42" s="410"/>
      <c r="U42" s="410"/>
      <c r="V42" s="410"/>
      <c r="W42" s="406">
        <f t="shared" si="196"/>
        <v>0</v>
      </c>
      <c r="X42" s="406">
        <f t="shared" si="197"/>
        <v>0</v>
      </c>
      <c r="Y42" s="406">
        <f t="shared" si="198"/>
        <v>0</v>
      </c>
      <c r="Z42" s="410">
        <f t="shared" ref="Z42:AA42" si="227">+U42</f>
        <v>0</v>
      </c>
      <c r="AA42" s="410">
        <f t="shared" si="227"/>
        <v>0</v>
      </c>
      <c r="AB42" s="410">
        <v>249150644</v>
      </c>
      <c r="AC42" s="410">
        <v>35177075</v>
      </c>
      <c r="AD42" s="410">
        <v>35177075</v>
      </c>
      <c r="AE42" s="410">
        <f>84962626-AD42</f>
        <v>49785551</v>
      </c>
      <c r="AF42" s="410">
        <v>49785551</v>
      </c>
      <c r="AG42" s="410">
        <f>130802560-AD42-AF42</f>
        <v>45839934</v>
      </c>
      <c r="AH42" s="410">
        <v>45839934</v>
      </c>
      <c r="AI42" s="410">
        <f>195030200-AD42-AF42-AH42</f>
        <v>64227640</v>
      </c>
      <c r="AJ42" s="410">
        <v>64227640</v>
      </c>
      <c r="AK42" s="410">
        <v>0</v>
      </c>
      <c r="AL42" s="410">
        <v>0</v>
      </c>
      <c r="AM42" s="410">
        <v>22048577</v>
      </c>
      <c r="AN42" s="410">
        <v>22048577</v>
      </c>
      <c r="AO42" s="410">
        <v>32011000</v>
      </c>
      <c r="AP42" s="410">
        <v>32011000</v>
      </c>
      <c r="AQ42" s="410">
        <v>60867</v>
      </c>
      <c r="AR42" s="410">
        <v>0</v>
      </c>
      <c r="AS42" s="410">
        <v>0</v>
      </c>
      <c r="AT42" s="410">
        <v>0</v>
      </c>
      <c r="AU42" s="410">
        <v>-60867</v>
      </c>
      <c r="AV42" s="410">
        <v>0</v>
      </c>
      <c r="AW42" s="410"/>
      <c r="AX42" s="410">
        <v>0</v>
      </c>
      <c r="AY42" s="410"/>
      <c r="AZ42" s="410">
        <v>0</v>
      </c>
      <c r="BA42" s="410">
        <f>AC42+AE42+AG42+AI42+AK42+AM42+AO42+AQ42+AS42+AU42+AW42+AY42</f>
        <v>249089777</v>
      </c>
      <c r="BB42" s="410">
        <f t="shared" si="200"/>
        <v>249089777</v>
      </c>
      <c r="BC42" s="410">
        <f t="shared" si="201"/>
        <v>249089777</v>
      </c>
      <c r="BD42" s="410">
        <f>BA42</f>
        <v>249089777</v>
      </c>
      <c r="BE42" s="410">
        <f t="shared" si="203"/>
        <v>249089777</v>
      </c>
      <c r="BF42" s="410">
        <v>116097967</v>
      </c>
      <c r="BG42" s="410">
        <v>57004267</v>
      </c>
      <c r="BH42" s="410">
        <v>57004267</v>
      </c>
      <c r="BI42" s="410">
        <v>42206367</v>
      </c>
      <c r="BJ42" s="410">
        <v>49146367</v>
      </c>
      <c r="BK42" s="410">
        <v>0</v>
      </c>
      <c r="BL42" s="410">
        <v>0</v>
      </c>
      <c r="BM42" s="410">
        <v>16887333</v>
      </c>
      <c r="BN42" s="410">
        <v>6940000</v>
      </c>
      <c r="BO42" s="410">
        <v>0</v>
      </c>
      <c r="BP42" s="410">
        <v>3007333</v>
      </c>
      <c r="BQ42" s="410">
        <v>0</v>
      </c>
      <c r="BR42" s="410">
        <v>0</v>
      </c>
      <c r="BS42" s="410">
        <v>0</v>
      </c>
      <c r="BT42" s="410">
        <v>0</v>
      </c>
      <c r="BU42" s="410">
        <v>0</v>
      </c>
      <c r="BV42" s="410">
        <v>0</v>
      </c>
      <c r="BW42" s="410">
        <v>0</v>
      </c>
      <c r="BX42" s="410"/>
      <c r="BY42" s="410">
        <v>0</v>
      </c>
      <c r="BZ42" s="410">
        <v>0</v>
      </c>
      <c r="CA42" s="410">
        <v>0</v>
      </c>
      <c r="CB42" s="410">
        <v>0</v>
      </c>
      <c r="CC42" s="410">
        <v>0</v>
      </c>
      <c r="CD42" s="410"/>
      <c r="CE42" s="410">
        <f>BG42+BI42+BK42+BM42+BO42+BQ42+BS42+BU42+BW42+BY42+CA42+CC42</f>
        <v>116097967</v>
      </c>
      <c r="CF42" s="410">
        <f t="shared" si="204"/>
        <v>116097967</v>
      </c>
      <c r="CG42" s="410">
        <f t="shared" si="205"/>
        <v>116097967</v>
      </c>
      <c r="CH42" s="410">
        <f>CE42</f>
        <v>116097967</v>
      </c>
      <c r="CI42" s="410">
        <f t="shared" si="207"/>
        <v>116097967</v>
      </c>
      <c r="CJ42" s="410">
        <v>55747063</v>
      </c>
      <c r="CK42" s="410">
        <v>19530933</v>
      </c>
      <c r="CL42" s="410">
        <v>19530933</v>
      </c>
      <c r="CM42" s="410">
        <v>19014499</v>
      </c>
      <c r="CN42" s="410">
        <v>19014499</v>
      </c>
      <c r="CO42" s="410">
        <v>0</v>
      </c>
      <c r="CP42" s="410">
        <v>0</v>
      </c>
      <c r="CQ42" s="410"/>
      <c r="CR42" s="410">
        <v>0</v>
      </c>
      <c r="CS42" s="410">
        <v>17201631</v>
      </c>
      <c r="CT42" s="410">
        <v>2071277</v>
      </c>
      <c r="CU42" s="410"/>
      <c r="CV42" s="410"/>
      <c r="CW42" s="410"/>
      <c r="CX42" s="410">
        <v>225171</v>
      </c>
      <c r="CY42" s="410"/>
      <c r="CZ42" s="410"/>
      <c r="DA42" s="410"/>
      <c r="DB42" s="410"/>
      <c r="DC42" s="410"/>
      <c r="DD42" s="410">
        <v>14869824</v>
      </c>
      <c r="DE42" s="410"/>
      <c r="DF42" s="410"/>
      <c r="DG42" s="410">
        <v>-35359</v>
      </c>
      <c r="DH42" s="410"/>
      <c r="DI42" s="410">
        <f t="shared" si="218"/>
        <v>55711704</v>
      </c>
      <c r="DJ42" s="410">
        <f t="shared" ref="DJ42:DK42" si="228">CK42+CM42+CO42+CQ42+CS42+CU42+CW42+CY42+DA42+DC42+DE42+DG42</f>
        <v>55711704</v>
      </c>
      <c r="DK42" s="410">
        <f t="shared" si="228"/>
        <v>55711704</v>
      </c>
      <c r="DL42" s="410">
        <f t="shared" si="210"/>
        <v>55711704</v>
      </c>
      <c r="DM42" s="410">
        <f t="shared" si="211"/>
        <v>55711704</v>
      </c>
      <c r="DN42" s="410"/>
      <c r="DO42" s="411"/>
      <c r="DP42" s="411"/>
      <c r="DQ42" s="411"/>
      <c r="DR42" s="411"/>
      <c r="DS42" s="411"/>
      <c r="DT42" s="411"/>
      <c r="DU42" s="411"/>
      <c r="DV42" s="411"/>
      <c r="DW42" s="411"/>
      <c r="DX42" s="411"/>
      <c r="DY42" s="411"/>
      <c r="DZ42" s="411"/>
      <c r="EA42" s="411"/>
      <c r="EB42" s="411"/>
      <c r="EC42" s="411"/>
      <c r="ED42" s="411"/>
      <c r="EE42" s="411"/>
      <c r="EF42" s="411"/>
      <c r="EG42" s="411"/>
      <c r="EH42" s="411"/>
      <c r="EI42" s="411"/>
      <c r="EJ42" s="411"/>
      <c r="EK42" s="411"/>
      <c r="EL42" s="411"/>
      <c r="EM42" s="405">
        <f t="shared" si="220"/>
        <v>0</v>
      </c>
      <c r="EN42" s="413">
        <f t="shared" ref="EN42:EO42" si="229">DO42+DQ42+DS42+DU42</f>
        <v>0</v>
      </c>
      <c r="EO42" s="413">
        <f t="shared" si="229"/>
        <v>0</v>
      </c>
      <c r="EP42" s="412">
        <f t="shared" ref="EP42:EP43" si="230">DQ42+DS42+DU42+DW42+DY42+EA42+EC42+EE42+EG42+EI42+EK42+DO42</f>
        <v>0</v>
      </c>
      <c r="EQ42" s="413"/>
      <c r="ER42" s="407">
        <f t="shared" si="23"/>
        <v>0</v>
      </c>
      <c r="ES42" s="407">
        <f t="shared" ref="ES42:ES47" si="231">DK42/DJ42</f>
        <v>1</v>
      </c>
      <c r="ET42" s="408">
        <f t="shared" ref="ET42:ET47" si="232">DM42/DL42</f>
        <v>1</v>
      </c>
      <c r="EU42" s="408">
        <f t="shared" ref="EU42:EU47" si="233">(AA42+BE42+CI42+DK42)/(Z42+BD42+CH42+DJ42)</f>
        <v>1</v>
      </c>
      <c r="EV42" s="409">
        <f t="shared" ref="EV42:EV46" si="234">(AA42+BE42+CI42+DM42)/G42</f>
        <v>1</v>
      </c>
      <c r="EW42" s="735"/>
      <c r="EX42" s="735"/>
      <c r="EY42" s="735"/>
      <c r="EZ42" s="735"/>
      <c r="FA42" s="735"/>
      <c r="FB42" s="770"/>
      <c r="FC42" s="80"/>
      <c r="FD42" s="80"/>
    </row>
    <row r="43" spans="1:160" ht="30" customHeight="1" thickBot="1" x14ac:dyDescent="0.3">
      <c r="A43" s="694"/>
      <c r="B43" s="694"/>
      <c r="C43" s="694"/>
      <c r="D43" s="694"/>
      <c r="E43" s="694"/>
      <c r="F43" s="84" t="s">
        <v>353</v>
      </c>
      <c r="G43" s="447">
        <f t="shared" ref="G43:G44" si="235">G38+G41</f>
        <v>800</v>
      </c>
      <c r="H43" s="467">
        <v>50</v>
      </c>
      <c r="I43" s="468"/>
      <c r="J43" s="468"/>
      <c r="K43" s="468">
        <v>50</v>
      </c>
      <c r="L43" s="468">
        <v>0</v>
      </c>
      <c r="M43" s="468">
        <v>50</v>
      </c>
      <c r="N43" s="469">
        <v>5</v>
      </c>
      <c r="O43" s="468">
        <v>50</v>
      </c>
      <c r="P43" s="469">
        <v>10</v>
      </c>
      <c r="Q43" s="468">
        <v>50</v>
      </c>
      <c r="R43" s="470">
        <v>30</v>
      </c>
      <c r="S43" s="468">
        <v>50</v>
      </c>
      <c r="T43" s="449">
        <v>45</v>
      </c>
      <c r="U43" s="447">
        <v>50</v>
      </c>
      <c r="V43" s="447">
        <v>50</v>
      </c>
      <c r="W43" s="450">
        <f t="shared" si="196"/>
        <v>50</v>
      </c>
      <c r="X43" s="450">
        <f t="shared" si="197"/>
        <v>50</v>
      </c>
      <c r="Y43" s="450">
        <f t="shared" si="198"/>
        <v>50</v>
      </c>
      <c r="Z43" s="450">
        <f t="shared" ref="Z43:AA43" si="236">+U43</f>
        <v>50</v>
      </c>
      <c r="AA43" s="450">
        <f t="shared" si="236"/>
        <v>50</v>
      </c>
      <c r="AB43" s="447">
        <v>160</v>
      </c>
      <c r="AC43" s="447">
        <v>20</v>
      </c>
      <c r="AD43" s="447">
        <v>20</v>
      </c>
      <c r="AE43" s="449">
        <v>20</v>
      </c>
      <c r="AF43" s="449">
        <v>20</v>
      </c>
      <c r="AG43" s="449">
        <v>5</v>
      </c>
      <c r="AH43" s="449">
        <v>5</v>
      </c>
      <c r="AI43" s="449">
        <v>5</v>
      </c>
      <c r="AJ43" s="449">
        <v>5</v>
      </c>
      <c r="AK43" s="449">
        <v>5</v>
      </c>
      <c r="AL43" s="449">
        <v>5</v>
      </c>
      <c r="AM43" s="449">
        <v>2</v>
      </c>
      <c r="AN43" s="449">
        <v>2</v>
      </c>
      <c r="AO43" s="449">
        <v>2</v>
      </c>
      <c r="AP43" s="449">
        <v>2</v>
      </c>
      <c r="AQ43" s="449">
        <v>2</v>
      </c>
      <c r="AR43" s="449">
        <v>2</v>
      </c>
      <c r="AS43" s="449">
        <v>15</v>
      </c>
      <c r="AT43" s="449">
        <v>15</v>
      </c>
      <c r="AU43" s="449">
        <v>30</v>
      </c>
      <c r="AV43" s="449">
        <v>30</v>
      </c>
      <c r="AW43" s="449">
        <v>34</v>
      </c>
      <c r="AX43" s="449">
        <v>34</v>
      </c>
      <c r="AY43" s="449">
        <v>20</v>
      </c>
      <c r="AZ43" s="449">
        <v>20</v>
      </c>
      <c r="BA43" s="449">
        <f>BA38+BA41</f>
        <v>160</v>
      </c>
      <c r="BB43" s="450">
        <f t="shared" si="200"/>
        <v>160</v>
      </c>
      <c r="BC43" s="450">
        <f t="shared" si="201"/>
        <v>160</v>
      </c>
      <c r="BD43" s="450">
        <f>BD38+BD41</f>
        <v>160</v>
      </c>
      <c r="BE43" s="450">
        <f t="shared" si="203"/>
        <v>160</v>
      </c>
      <c r="BF43" s="449">
        <v>190</v>
      </c>
      <c r="BG43" s="449">
        <f t="shared" ref="BG43:CD43" si="237">+BG38</f>
        <v>0</v>
      </c>
      <c r="BH43" s="449">
        <f t="shared" si="237"/>
        <v>0</v>
      </c>
      <c r="BI43" s="449">
        <f t="shared" si="237"/>
        <v>20</v>
      </c>
      <c r="BJ43" s="449">
        <f t="shared" si="237"/>
        <v>20</v>
      </c>
      <c r="BK43" s="449">
        <f t="shared" si="237"/>
        <v>20</v>
      </c>
      <c r="BL43" s="449">
        <f t="shared" si="237"/>
        <v>20</v>
      </c>
      <c r="BM43" s="449">
        <f t="shared" si="237"/>
        <v>10</v>
      </c>
      <c r="BN43" s="449">
        <f t="shared" si="237"/>
        <v>10</v>
      </c>
      <c r="BO43" s="449">
        <f t="shared" si="237"/>
        <v>10</v>
      </c>
      <c r="BP43" s="449">
        <f t="shared" si="237"/>
        <v>10</v>
      </c>
      <c r="BQ43" s="449">
        <f t="shared" si="237"/>
        <v>10</v>
      </c>
      <c r="BR43" s="449">
        <f t="shared" si="237"/>
        <v>10</v>
      </c>
      <c r="BS43" s="449">
        <f t="shared" si="237"/>
        <v>5</v>
      </c>
      <c r="BT43" s="449">
        <f t="shared" si="237"/>
        <v>5</v>
      </c>
      <c r="BU43" s="449">
        <f t="shared" si="237"/>
        <v>5</v>
      </c>
      <c r="BV43" s="449">
        <f t="shared" si="237"/>
        <v>5</v>
      </c>
      <c r="BW43" s="449">
        <f t="shared" si="237"/>
        <v>30</v>
      </c>
      <c r="BX43" s="449">
        <f t="shared" si="237"/>
        <v>30</v>
      </c>
      <c r="BY43" s="449">
        <f t="shared" si="237"/>
        <v>30</v>
      </c>
      <c r="BZ43" s="449">
        <f t="shared" si="237"/>
        <v>30</v>
      </c>
      <c r="CA43" s="449">
        <f t="shared" si="237"/>
        <v>30</v>
      </c>
      <c r="CB43" s="449">
        <f t="shared" si="237"/>
        <v>30</v>
      </c>
      <c r="CC43" s="449">
        <f t="shared" si="237"/>
        <v>20</v>
      </c>
      <c r="CD43" s="449">
        <f t="shared" si="237"/>
        <v>20</v>
      </c>
      <c r="CE43" s="449">
        <f>CE38+CE41</f>
        <v>190</v>
      </c>
      <c r="CF43" s="450">
        <f t="shared" si="204"/>
        <v>190</v>
      </c>
      <c r="CG43" s="450">
        <f t="shared" si="205"/>
        <v>190</v>
      </c>
      <c r="CH43" s="450">
        <f>CH38+CH41</f>
        <v>190</v>
      </c>
      <c r="CI43" s="450">
        <f t="shared" si="207"/>
        <v>190</v>
      </c>
      <c r="CJ43" s="449">
        <v>290</v>
      </c>
      <c r="CK43" s="449">
        <f t="shared" ref="CK43:DH43" si="238">+CK38</f>
        <v>0</v>
      </c>
      <c r="CL43" s="449">
        <f t="shared" si="238"/>
        <v>0</v>
      </c>
      <c r="CM43" s="449">
        <f t="shared" si="238"/>
        <v>10</v>
      </c>
      <c r="CN43" s="449">
        <f t="shared" si="238"/>
        <v>10</v>
      </c>
      <c r="CO43" s="449">
        <f t="shared" si="238"/>
        <v>20</v>
      </c>
      <c r="CP43" s="449">
        <f t="shared" si="238"/>
        <v>20</v>
      </c>
      <c r="CQ43" s="449">
        <f t="shared" si="238"/>
        <v>30</v>
      </c>
      <c r="CR43" s="449">
        <f t="shared" si="238"/>
        <v>30</v>
      </c>
      <c r="CS43" s="449">
        <f t="shared" si="238"/>
        <v>30</v>
      </c>
      <c r="CT43" s="449">
        <f t="shared" si="238"/>
        <v>30</v>
      </c>
      <c r="CU43" s="449">
        <f t="shared" si="238"/>
        <v>30</v>
      </c>
      <c r="CV43" s="449">
        <f t="shared" si="238"/>
        <v>30</v>
      </c>
      <c r="CW43" s="449">
        <f t="shared" si="238"/>
        <v>10</v>
      </c>
      <c r="CX43" s="449">
        <f t="shared" si="238"/>
        <v>10</v>
      </c>
      <c r="CY43" s="449">
        <f t="shared" si="238"/>
        <v>10</v>
      </c>
      <c r="CZ43" s="449">
        <f t="shared" si="238"/>
        <v>10</v>
      </c>
      <c r="DA43" s="449">
        <f t="shared" si="238"/>
        <v>40</v>
      </c>
      <c r="DB43" s="449">
        <f t="shared" si="238"/>
        <v>40</v>
      </c>
      <c r="DC43" s="449">
        <f t="shared" si="238"/>
        <v>40</v>
      </c>
      <c r="DD43" s="449">
        <f t="shared" si="238"/>
        <v>40</v>
      </c>
      <c r="DE43" s="449">
        <f t="shared" si="238"/>
        <v>40</v>
      </c>
      <c r="DF43" s="449">
        <f t="shared" si="238"/>
        <v>40</v>
      </c>
      <c r="DG43" s="449">
        <f t="shared" si="238"/>
        <v>30</v>
      </c>
      <c r="DH43" s="449">
        <f t="shared" si="238"/>
        <v>30</v>
      </c>
      <c r="DI43" s="449">
        <f t="shared" si="218"/>
        <v>290</v>
      </c>
      <c r="DJ43" s="485">
        <f t="shared" ref="DJ43:DK43" si="239">CK43+CM43+CO43+CQ43+CS43+CU43+CW43+CY43+DA43+DC43+DE43+DG43</f>
        <v>290</v>
      </c>
      <c r="DK43" s="485">
        <f t="shared" si="239"/>
        <v>290</v>
      </c>
      <c r="DL43" s="450">
        <f t="shared" si="210"/>
        <v>290</v>
      </c>
      <c r="DM43" s="449">
        <f t="shared" si="211"/>
        <v>290</v>
      </c>
      <c r="DN43" s="449">
        <f>DN38</f>
        <v>110</v>
      </c>
      <c r="DO43" s="449"/>
      <c r="DP43" s="449"/>
      <c r="DQ43" s="449"/>
      <c r="DR43" s="449"/>
      <c r="DS43" s="449"/>
      <c r="DT43" s="449"/>
      <c r="DU43" s="449"/>
      <c r="DV43" s="449"/>
      <c r="DW43" s="449"/>
      <c r="DX43" s="449"/>
      <c r="DY43" s="449"/>
      <c r="DZ43" s="449"/>
      <c r="EA43" s="449"/>
      <c r="EB43" s="449"/>
      <c r="EC43" s="449"/>
      <c r="ED43" s="449"/>
      <c r="EE43" s="449"/>
      <c r="EF43" s="449"/>
      <c r="EG43" s="449"/>
      <c r="EH43" s="449"/>
      <c r="EI43" s="449"/>
      <c r="EJ43" s="449"/>
      <c r="EK43" s="449"/>
      <c r="EL43" s="449"/>
      <c r="EM43" s="449">
        <f t="shared" si="220"/>
        <v>0</v>
      </c>
      <c r="EN43" s="472">
        <f t="shared" ref="EN43:EO43" si="240">DO43+DQ43+DS43+DU43</f>
        <v>0</v>
      </c>
      <c r="EO43" s="472">
        <f t="shared" si="240"/>
        <v>0</v>
      </c>
      <c r="EP43" s="473">
        <f t="shared" si="230"/>
        <v>0</v>
      </c>
      <c r="EQ43" s="472"/>
      <c r="ER43" s="451">
        <f t="shared" si="23"/>
        <v>1</v>
      </c>
      <c r="ES43" s="451">
        <f t="shared" si="231"/>
        <v>1</v>
      </c>
      <c r="ET43" s="452">
        <f t="shared" si="232"/>
        <v>1</v>
      </c>
      <c r="EU43" s="452">
        <f t="shared" si="233"/>
        <v>1</v>
      </c>
      <c r="EV43" s="421">
        <f t="shared" si="234"/>
        <v>0.86250000000000004</v>
      </c>
      <c r="EW43" s="735"/>
      <c r="EX43" s="735"/>
      <c r="EY43" s="735"/>
      <c r="EZ43" s="735"/>
      <c r="FA43" s="735"/>
      <c r="FB43" s="770"/>
      <c r="FC43" s="80"/>
      <c r="FD43" s="80"/>
    </row>
    <row r="44" spans="1:160" ht="30" customHeight="1" thickBot="1" x14ac:dyDescent="0.3">
      <c r="A44" s="694"/>
      <c r="B44" s="733"/>
      <c r="C44" s="733"/>
      <c r="D44" s="733"/>
      <c r="E44" s="733"/>
      <c r="F44" s="86" t="s">
        <v>354</v>
      </c>
      <c r="G44" s="459">
        <f t="shared" si="235"/>
        <v>4534067907</v>
      </c>
      <c r="H44" s="460">
        <f t="shared" ref="H44:DN44" si="241">H39+H42</f>
        <v>668935490</v>
      </c>
      <c r="I44" s="460">
        <f t="shared" si="241"/>
        <v>0</v>
      </c>
      <c r="J44" s="460">
        <f t="shared" si="241"/>
        <v>0</v>
      </c>
      <c r="K44" s="460">
        <f t="shared" si="241"/>
        <v>668935490</v>
      </c>
      <c r="L44" s="460">
        <f t="shared" si="241"/>
        <v>328110000</v>
      </c>
      <c r="M44" s="460">
        <f t="shared" si="241"/>
        <v>641192490</v>
      </c>
      <c r="N44" s="460">
        <f t="shared" si="241"/>
        <v>519353000</v>
      </c>
      <c r="O44" s="460">
        <f t="shared" si="241"/>
        <v>641192490</v>
      </c>
      <c r="P44" s="460">
        <f t="shared" si="241"/>
        <v>532019000</v>
      </c>
      <c r="Q44" s="460">
        <f t="shared" si="241"/>
        <v>734428327</v>
      </c>
      <c r="R44" s="460">
        <f t="shared" si="241"/>
        <v>532019000</v>
      </c>
      <c r="S44" s="460">
        <f t="shared" si="241"/>
        <v>714428327</v>
      </c>
      <c r="T44" s="460">
        <f t="shared" si="241"/>
        <v>556969163</v>
      </c>
      <c r="U44" s="460">
        <f t="shared" si="241"/>
        <v>714428327</v>
      </c>
      <c r="V44" s="460">
        <f t="shared" si="241"/>
        <v>706859293</v>
      </c>
      <c r="W44" s="460">
        <f t="shared" si="241"/>
        <v>668935490</v>
      </c>
      <c r="X44" s="460">
        <f t="shared" si="241"/>
        <v>668935490</v>
      </c>
      <c r="Y44" s="460">
        <f t="shared" si="241"/>
        <v>706859293</v>
      </c>
      <c r="Z44" s="460">
        <f t="shared" si="241"/>
        <v>714428327</v>
      </c>
      <c r="AA44" s="460">
        <f t="shared" si="241"/>
        <v>706859293</v>
      </c>
      <c r="AB44" s="460">
        <f t="shared" si="241"/>
        <v>948538644</v>
      </c>
      <c r="AC44" s="460">
        <f t="shared" si="241"/>
        <v>35177075</v>
      </c>
      <c r="AD44" s="460">
        <f t="shared" si="241"/>
        <v>35177075</v>
      </c>
      <c r="AE44" s="460">
        <f t="shared" si="241"/>
        <v>111141551</v>
      </c>
      <c r="AF44" s="460">
        <f t="shared" si="241"/>
        <v>111141551</v>
      </c>
      <c r="AG44" s="460">
        <f t="shared" si="241"/>
        <v>331267934</v>
      </c>
      <c r="AH44" s="460">
        <f t="shared" si="241"/>
        <v>331267934</v>
      </c>
      <c r="AI44" s="460">
        <f t="shared" si="241"/>
        <v>64227640</v>
      </c>
      <c r="AJ44" s="460">
        <f t="shared" si="241"/>
        <v>64227640</v>
      </c>
      <c r="AK44" s="460">
        <f t="shared" si="241"/>
        <v>0</v>
      </c>
      <c r="AL44" s="460">
        <f t="shared" si="241"/>
        <v>0</v>
      </c>
      <c r="AM44" s="460">
        <f t="shared" si="241"/>
        <v>22048577</v>
      </c>
      <c r="AN44" s="460">
        <f t="shared" si="241"/>
        <v>22048577</v>
      </c>
      <c r="AO44" s="460">
        <f t="shared" si="241"/>
        <v>32011000</v>
      </c>
      <c r="AP44" s="460">
        <f t="shared" si="241"/>
        <v>32011000</v>
      </c>
      <c r="AQ44" s="460">
        <f t="shared" si="241"/>
        <v>60867</v>
      </c>
      <c r="AR44" s="460">
        <f t="shared" si="241"/>
        <v>0</v>
      </c>
      <c r="AS44" s="460">
        <f t="shared" si="241"/>
        <v>292448222</v>
      </c>
      <c r="AT44" s="460">
        <f t="shared" si="241"/>
        <v>208200000</v>
      </c>
      <c r="AU44" s="460">
        <f t="shared" si="241"/>
        <v>69939133</v>
      </c>
      <c r="AV44" s="460">
        <f t="shared" si="241"/>
        <v>13868300</v>
      </c>
      <c r="AW44" s="460">
        <f t="shared" si="241"/>
        <v>0</v>
      </c>
      <c r="AX44" s="460">
        <f t="shared" si="241"/>
        <v>49256100</v>
      </c>
      <c r="AY44" s="460">
        <f t="shared" si="241"/>
        <v>580967</v>
      </c>
      <c r="AZ44" s="460">
        <f t="shared" si="241"/>
        <v>17790500</v>
      </c>
      <c r="BA44" s="460">
        <f t="shared" si="241"/>
        <v>958902966</v>
      </c>
      <c r="BB44" s="460">
        <f t="shared" si="241"/>
        <v>958902966</v>
      </c>
      <c r="BC44" s="460">
        <f t="shared" si="241"/>
        <v>884988677</v>
      </c>
      <c r="BD44" s="460">
        <f t="shared" si="241"/>
        <v>958902966</v>
      </c>
      <c r="BE44" s="460">
        <f t="shared" si="241"/>
        <v>884988677</v>
      </c>
      <c r="BF44" s="460">
        <f t="shared" si="241"/>
        <v>788845967</v>
      </c>
      <c r="BG44" s="460">
        <f t="shared" si="241"/>
        <v>547900267</v>
      </c>
      <c r="BH44" s="460">
        <f t="shared" si="241"/>
        <v>547900267</v>
      </c>
      <c r="BI44" s="460">
        <f t="shared" si="241"/>
        <v>83480367</v>
      </c>
      <c r="BJ44" s="460">
        <f t="shared" si="241"/>
        <v>49146367</v>
      </c>
      <c r="BK44" s="460">
        <f t="shared" si="241"/>
        <v>0</v>
      </c>
      <c r="BL44" s="460">
        <f t="shared" si="241"/>
        <v>0</v>
      </c>
      <c r="BM44" s="460">
        <f t="shared" si="241"/>
        <v>16887333</v>
      </c>
      <c r="BN44" s="460">
        <f t="shared" si="241"/>
        <v>6940000</v>
      </c>
      <c r="BO44" s="460">
        <f t="shared" si="241"/>
        <v>0</v>
      </c>
      <c r="BP44" s="460">
        <f t="shared" si="241"/>
        <v>3007333</v>
      </c>
      <c r="BQ44" s="460">
        <f t="shared" si="241"/>
        <v>0</v>
      </c>
      <c r="BR44" s="460">
        <f t="shared" si="241"/>
        <v>40000000</v>
      </c>
      <c r="BS44" s="460">
        <f t="shared" si="241"/>
        <v>140000000</v>
      </c>
      <c r="BT44" s="460">
        <f t="shared" si="241"/>
        <v>141580000</v>
      </c>
      <c r="BU44" s="460">
        <f t="shared" si="241"/>
        <v>0</v>
      </c>
      <c r="BV44" s="460">
        <f t="shared" si="241"/>
        <v>0</v>
      </c>
      <c r="BW44" s="460">
        <f t="shared" si="241"/>
        <v>57928800</v>
      </c>
      <c r="BX44" s="460">
        <f t="shared" si="241"/>
        <v>95365267</v>
      </c>
      <c r="BY44" s="460">
        <f t="shared" si="241"/>
        <v>48627934</v>
      </c>
      <c r="BZ44" s="460">
        <f t="shared" si="241"/>
        <v>7278467</v>
      </c>
      <c r="CA44" s="460">
        <f t="shared" si="241"/>
        <v>9988100</v>
      </c>
      <c r="CB44" s="460">
        <f t="shared" si="241"/>
        <v>14081833</v>
      </c>
      <c r="CC44" s="460">
        <f t="shared" si="241"/>
        <v>578000</v>
      </c>
      <c r="CD44" s="460">
        <f t="shared" si="241"/>
        <v>0</v>
      </c>
      <c r="CE44" s="460">
        <f t="shared" si="241"/>
        <v>905390801</v>
      </c>
      <c r="CF44" s="460">
        <f t="shared" si="241"/>
        <v>905390801</v>
      </c>
      <c r="CG44" s="460">
        <f t="shared" si="241"/>
        <v>905299534</v>
      </c>
      <c r="CH44" s="460">
        <f t="shared" si="241"/>
        <v>905390801</v>
      </c>
      <c r="CI44" s="460">
        <f t="shared" si="241"/>
        <v>905299534</v>
      </c>
      <c r="CJ44" s="460">
        <f t="shared" si="241"/>
        <v>986297063</v>
      </c>
      <c r="CK44" s="460">
        <f t="shared" si="241"/>
        <v>19530933</v>
      </c>
      <c r="CL44" s="460">
        <f t="shared" si="241"/>
        <v>19530933</v>
      </c>
      <c r="CM44" s="460">
        <f t="shared" si="241"/>
        <v>605674499</v>
      </c>
      <c r="CN44" s="460">
        <f t="shared" si="241"/>
        <v>605674499</v>
      </c>
      <c r="CO44" s="460">
        <f t="shared" si="241"/>
        <v>0</v>
      </c>
      <c r="CP44" s="460">
        <f t="shared" si="241"/>
        <v>0</v>
      </c>
      <c r="CQ44" s="460">
        <f t="shared" si="241"/>
        <v>0</v>
      </c>
      <c r="CR44" s="460">
        <f t="shared" si="241"/>
        <v>0</v>
      </c>
      <c r="CS44" s="460">
        <f t="shared" si="241"/>
        <v>82332631</v>
      </c>
      <c r="CT44" s="460">
        <f t="shared" si="241"/>
        <v>2071277</v>
      </c>
      <c r="CU44" s="460">
        <f t="shared" si="241"/>
        <v>162817000</v>
      </c>
      <c r="CV44" s="460">
        <f t="shared" si="241"/>
        <v>0</v>
      </c>
      <c r="CW44" s="460">
        <f t="shared" si="241"/>
        <v>23010100</v>
      </c>
      <c r="CX44" s="460">
        <f t="shared" si="241"/>
        <v>225171</v>
      </c>
      <c r="CY44" s="460">
        <f t="shared" si="241"/>
        <v>0</v>
      </c>
      <c r="CZ44" s="460">
        <f t="shared" si="241"/>
        <v>162817000</v>
      </c>
      <c r="DA44" s="460">
        <f t="shared" si="241"/>
        <v>0</v>
      </c>
      <c r="DB44" s="460">
        <f t="shared" si="241"/>
        <v>65131000</v>
      </c>
      <c r="DC44" s="460">
        <f t="shared" si="241"/>
        <v>50000000</v>
      </c>
      <c r="DD44" s="460">
        <f t="shared" si="241"/>
        <v>14869824</v>
      </c>
      <c r="DE44" s="460">
        <f t="shared" si="241"/>
        <v>-27112401</v>
      </c>
      <c r="DF44" s="460">
        <f t="shared" si="241"/>
        <v>0</v>
      </c>
      <c r="DG44" s="460">
        <f t="shared" si="241"/>
        <v>65906641</v>
      </c>
      <c r="DH44" s="460">
        <f t="shared" si="241"/>
        <v>111652635</v>
      </c>
      <c r="DI44" s="460">
        <f t="shared" si="241"/>
        <v>982159403</v>
      </c>
      <c r="DJ44" s="460">
        <f t="shared" si="241"/>
        <v>982159403</v>
      </c>
      <c r="DK44" s="460">
        <f t="shared" si="241"/>
        <v>981972339</v>
      </c>
      <c r="DL44" s="460">
        <f t="shared" si="241"/>
        <v>982159403</v>
      </c>
      <c r="DM44" s="460">
        <f t="shared" si="241"/>
        <v>981972339</v>
      </c>
      <c r="DN44" s="460">
        <f t="shared" si="241"/>
        <v>1054761000</v>
      </c>
      <c r="DO44" s="461"/>
      <c r="DP44" s="461"/>
      <c r="DQ44" s="461"/>
      <c r="DR44" s="461"/>
      <c r="DS44" s="461"/>
      <c r="DT44" s="461"/>
      <c r="DU44" s="461"/>
      <c r="DV44" s="461"/>
      <c r="DW44" s="461"/>
      <c r="DX44" s="461"/>
      <c r="DY44" s="461"/>
      <c r="DZ44" s="461"/>
      <c r="EA44" s="461"/>
      <c r="EB44" s="461"/>
      <c r="EC44" s="461"/>
      <c r="ED44" s="461"/>
      <c r="EE44" s="461"/>
      <c r="EF44" s="461"/>
      <c r="EG44" s="461"/>
      <c r="EH44" s="461"/>
      <c r="EI44" s="461"/>
      <c r="EJ44" s="461"/>
      <c r="EK44" s="461"/>
      <c r="EL44" s="461"/>
      <c r="EM44" s="462">
        <f t="shared" ref="EM44:EM46" si="242">EK44+EI44+EG44+EE44+EC44+EA44+DY44+DW44+DU44+DS44+DQ44+DO44</f>
        <v>0</v>
      </c>
      <c r="EN44" s="463">
        <f>+EN39+EN42</f>
        <v>0</v>
      </c>
      <c r="EO44" s="463">
        <f>EO39+EO42</f>
        <v>0</v>
      </c>
      <c r="EP44" s="463">
        <f>+EP39+EP42</f>
        <v>0</v>
      </c>
      <c r="EQ44" s="463"/>
      <c r="ER44" s="464">
        <f t="shared" si="23"/>
        <v>1.6941029508695489</v>
      </c>
      <c r="ES44" s="464">
        <f t="shared" si="231"/>
        <v>0.99980953804501738</v>
      </c>
      <c r="ET44" s="465">
        <f t="shared" si="232"/>
        <v>0.99980953804501738</v>
      </c>
      <c r="EU44" s="465">
        <f t="shared" si="233"/>
        <v>0.97703892868412412</v>
      </c>
      <c r="EV44" s="466">
        <f t="shared" si="234"/>
        <v>0.76732856992033582</v>
      </c>
      <c r="EW44" s="768"/>
      <c r="EX44" s="735"/>
      <c r="EY44" s="735"/>
      <c r="EZ44" s="735"/>
      <c r="FA44" s="735"/>
      <c r="FB44" s="770"/>
      <c r="FC44" s="93"/>
      <c r="FD44" s="93"/>
    </row>
    <row r="45" spans="1:160" ht="30" customHeight="1" x14ac:dyDescent="0.25">
      <c r="A45" s="694"/>
      <c r="B45" s="756">
        <v>6</v>
      </c>
      <c r="C45" s="732" t="s">
        <v>367</v>
      </c>
      <c r="D45" s="732" t="s">
        <v>177</v>
      </c>
      <c r="E45" s="732">
        <v>199</v>
      </c>
      <c r="F45" s="78" t="s">
        <v>345</v>
      </c>
      <c r="G45" s="426">
        <f t="shared" ref="G45:G46" si="243">AA45+BE45+CI45+DL45+DN45</f>
        <v>100</v>
      </c>
      <c r="H45" s="453">
        <v>10</v>
      </c>
      <c r="I45" s="426"/>
      <c r="J45" s="426"/>
      <c r="K45" s="426">
        <v>10</v>
      </c>
      <c r="L45" s="426">
        <v>2</v>
      </c>
      <c r="M45" s="426">
        <v>10</v>
      </c>
      <c r="N45" s="454">
        <v>4</v>
      </c>
      <c r="O45" s="426">
        <v>10</v>
      </c>
      <c r="P45" s="454">
        <v>6</v>
      </c>
      <c r="Q45" s="426">
        <v>10</v>
      </c>
      <c r="R45" s="441">
        <v>8</v>
      </c>
      <c r="S45" s="426">
        <v>10</v>
      </c>
      <c r="T45" s="454">
        <v>9</v>
      </c>
      <c r="U45" s="426">
        <v>10</v>
      </c>
      <c r="V45" s="426">
        <v>10</v>
      </c>
      <c r="W45" s="455">
        <f t="shared" ref="W45:W50" si="244">+H45</f>
        <v>10</v>
      </c>
      <c r="X45" s="455">
        <f t="shared" ref="X45:X50" si="245">+H45</f>
        <v>10</v>
      </c>
      <c r="Y45" s="455">
        <f t="shared" ref="Y45:Y50" si="246">+V45</f>
        <v>10</v>
      </c>
      <c r="Z45" s="455">
        <f t="shared" ref="Z45:AA45" si="247">+U45</f>
        <v>10</v>
      </c>
      <c r="AA45" s="455">
        <f t="shared" si="247"/>
        <v>10</v>
      </c>
      <c r="AB45" s="426">
        <v>20</v>
      </c>
      <c r="AC45" s="426">
        <v>1</v>
      </c>
      <c r="AD45" s="426">
        <v>1</v>
      </c>
      <c r="AE45" s="426">
        <v>1</v>
      </c>
      <c r="AF45" s="454">
        <v>1</v>
      </c>
      <c r="AG45" s="426">
        <v>1</v>
      </c>
      <c r="AH45" s="454">
        <v>1</v>
      </c>
      <c r="AI45" s="454">
        <v>2</v>
      </c>
      <c r="AJ45" s="454">
        <v>2</v>
      </c>
      <c r="AK45" s="454">
        <v>2</v>
      </c>
      <c r="AL45" s="454">
        <v>2</v>
      </c>
      <c r="AM45" s="454">
        <v>2</v>
      </c>
      <c r="AN45" s="454">
        <v>2</v>
      </c>
      <c r="AO45" s="454">
        <v>2</v>
      </c>
      <c r="AP45" s="454">
        <v>2</v>
      </c>
      <c r="AQ45" s="454">
        <v>2</v>
      </c>
      <c r="AR45" s="454">
        <v>2</v>
      </c>
      <c r="AS45" s="454">
        <v>2</v>
      </c>
      <c r="AT45" s="454">
        <v>2</v>
      </c>
      <c r="AU45" s="454">
        <v>2</v>
      </c>
      <c r="AV45" s="454">
        <v>2</v>
      </c>
      <c r="AW45" s="454">
        <v>2</v>
      </c>
      <c r="AX45" s="436">
        <v>2</v>
      </c>
      <c r="AY45" s="431">
        <v>1</v>
      </c>
      <c r="AZ45" s="436">
        <v>1</v>
      </c>
      <c r="BA45" s="455">
        <f>AY45+AW45+AU45+AS45+AO45+AM45+AK45+AI45+AG45+AE45+AC45+AQ45</f>
        <v>20</v>
      </c>
      <c r="BB45" s="455">
        <f t="shared" ref="BB45:BB50" si="248">AC45+AE45+AG45+AI45+AK45+AM45+AO45+AQ45+AS45+AU45+AW45+AY45</f>
        <v>20</v>
      </c>
      <c r="BC45" s="455">
        <f t="shared" ref="BC45:BC50" si="249">+AN45+AD45+AF45+AH45+AJ45+AL45+AP45+AR45+AT45+AV45+AX45+AZ45</f>
        <v>20</v>
      </c>
      <c r="BD45" s="455">
        <f t="shared" ref="BD45:BD47" si="250">BA45</f>
        <v>20</v>
      </c>
      <c r="BE45" s="455">
        <f t="shared" ref="BE45:BE50" si="251">AF45+AH45+AJ45+AL45+AD45+AN45+AP45+AR45+AT45+AV45+AX45+AZ45</f>
        <v>20</v>
      </c>
      <c r="BF45" s="431">
        <v>20</v>
      </c>
      <c r="BG45" s="436">
        <v>2</v>
      </c>
      <c r="BH45" s="436">
        <v>2</v>
      </c>
      <c r="BI45" s="431">
        <v>2</v>
      </c>
      <c r="BJ45" s="431">
        <v>2</v>
      </c>
      <c r="BK45" s="431">
        <v>2</v>
      </c>
      <c r="BL45" s="431">
        <v>1</v>
      </c>
      <c r="BM45" s="431">
        <v>2</v>
      </c>
      <c r="BN45" s="431">
        <v>3</v>
      </c>
      <c r="BO45" s="431">
        <v>2</v>
      </c>
      <c r="BP45" s="431">
        <v>2</v>
      </c>
      <c r="BQ45" s="431">
        <v>2</v>
      </c>
      <c r="BR45" s="431">
        <v>2</v>
      </c>
      <c r="BS45" s="431">
        <v>2</v>
      </c>
      <c r="BT45" s="431">
        <v>2</v>
      </c>
      <c r="BU45" s="431">
        <v>2</v>
      </c>
      <c r="BV45" s="431">
        <v>2</v>
      </c>
      <c r="BW45" s="431">
        <v>1</v>
      </c>
      <c r="BX45" s="431">
        <v>1</v>
      </c>
      <c r="BY45" s="431">
        <v>1</v>
      </c>
      <c r="BZ45" s="431">
        <v>1</v>
      </c>
      <c r="CA45" s="431">
        <v>1</v>
      </c>
      <c r="CB45" s="431">
        <v>1</v>
      </c>
      <c r="CC45" s="488">
        <v>1</v>
      </c>
      <c r="CD45" s="431">
        <v>1</v>
      </c>
      <c r="CE45" s="455">
        <f>CC45+CA45+BY45+BW45+BS45+BQ45+BO45+BM45+BK45+BI45+BG45+BU45</f>
        <v>20</v>
      </c>
      <c r="CF45" s="455">
        <f t="shared" ref="CF45:CF50" si="252">+BG45+BI45+BK45+BM45+BO45+BQ45+BS45+BU45+BW45+BY45+CA45+CC45</f>
        <v>20</v>
      </c>
      <c r="CG45" s="455">
        <f t="shared" ref="CG45:CG50" si="253">+BR45+BH45+BJ45+BL45+BN45+BP45+BT45+BV45+BX45+BZ45+CB45+CD45</f>
        <v>20</v>
      </c>
      <c r="CH45" s="455">
        <f t="shared" ref="CH45:CH47" si="254">CE45</f>
        <v>20</v>
      </c>
      <c r="CI45" s="455">
        <f t="shared" ref="CI45:CI50" si="255">BJ45+BL45+BN45+BP45+BH45+BR45+BT45+BV45+BX45+BZ45+CB45+CD45</f>
        <v>20</v>
      </c>
      <c r="CJ45" s="431">
        <v>34</v>
      </c>
      <c r="CK45" s="431">
        <v>0</v>
      </c>
      <c r="CL45" s="431"/>
      <c r="CM45" s="431">
        <v>1</v>
      </c>
      <c r="CN45" s="431">
        <v>2</v>
      </c>
      <c r="CO45" s="431">
        <v>4</v>
      </c>
      <c r="CP45" s="431">
        <v>4</v>
      </c>
      <c r="CQ45" s="431">
        <v>4</v>
      </c>
      <c r="CR45" s="431">
        <v>4</v>
      </c>
      <c r="CS45" s="431">
        <v>4</v>
      </c>
      <c r="CT45" s="431">
        <v>4</v>
      </c>
      <c r="CU45" s="489">
        <v>3</v>
      </c>
      <c r="CV45" s="489">
        <v>3</v>
      </c>
      <c r="CW45" s="431">
        <v>3</v>
      </c>
      <c r="CX45" s="431">
        <v>3</v>
      </c>
      <c r="CY45" s="431">
        <v>3</v>
      </c>
      <c r="CZ45" s="431">
        <v>3</v>
      </c>
      <c r="DA45" s="431">
        <v>3</v>
      </c>
      <c r="DB45" s="431">
        <v>3</v>
      </c>
      <c r="DC45" s="431">
        <v>3</v>
      </c>
      <c r="DD45" s="431">
        <v>3</v>
      </c>
      <c r="DE45" s="431">
        <v>3</v>
      </c>
      <c r="DF45" s="431">
        <v>3</v>
      </c>
      <c r="DG45" s="431">
        <v>3</v>
      </c>
      <c r="DH45" s="431">
        <v>2</v>
      </c>
      <c r="DI45" s="455">
        <f t="shared" ref="DI45:DI50" si="256">DG45+DE45+DC45+DA45+CY45+CW45+CU45+CS45+CQ45+CO45+CM45+CK45</f>
        <v>34</v>
      </c>
      <c r="DJ45" s="454">
        <f t="shared" ref="DJ45:DK45" si="257">CK45+CM45+CO45+CQ45+CS45+CU45+CW45+CY45+DA45+DC45+DE45+DG45</f>
        <v>34</v>
      </c>
      <c r="DK45" s="454">
        <f t="shared" si="257"/>
        <v>34</v>
      </c>
      <c r="DL45" s="455">
        <f t="shared" ref="DL45:DL50" si="258">DI45</f>
        <v>34</v>
      </c>
      <c r="DM45" s="454">
        <f t="shared" ref="DM45:DM50" si="259">CN45+CP45+CR45+CT45+CL45+CV45+CX45+CZ45+DB45+DD45+DF45+DH45</f>
        <v>34</v>
      </c>
      <c r="DN45" s="431">
        <v>16</v>
      </c>
      <c r="DO45" s="431"/>
      <c r="DP45" s="431"/>
      <c r="DQ45" s="431"/>
      <c r="DR45" s="431"/>
      <c r="DS45" s="431"/>
      <c r="DT45" s="431"/>
      <c r="DU45" s="431"/>
      <c r="DV45" s="431"/>
      <c r="DW45" s="431"/>
      <c r="DX45" s="431"/>
      <c r="DY45" s="431"/>
      <c r="DZ45" s="431"/>
      <c r="EA45" s="431"/>
      <c r="EB45" s="431"/>
      <c r="EC45" s="431"/>
      <c r="ED45" s="431"/>
      <c r="EE45" s="431"/>
      <c r="EF45" s="431"/>
      <c r="EG45" s="431"/>
      <c r="EH45" s="431"/>
      <c r="EI45" s="431"/>
      <c r="EJ45" s="431"/>
      <c r="EK45" s="431"/>
      <c r="EL45" s="431"/>
      <c r="EM45" s="426">
        <f t="shared" si="242"/>
        <v>0</v>
      </c>
      <c r="EN45" s="426">
        <f t="shared" ref="EN45:EO45" si="260">DO45+DQ45+DS45+DU45</f>
        <v>0</v>
      </c>
      <c r="EO45" s="454">
        <f t="shared" si="260"/>
        <v>0</v>
      </c>
      <c r="EP45" s="456">
        <f t="shared" ref="EP45:EP46" si="261">DQ45+DS45+DU45+DW45+DY45+EA45+EC45+EE45+EG45+EI45+EK45+DO45</f>
        <v>0</v>
      </c>
      <c r="EQ45" s="454"/>
      <c r="ER45" s="457">
        <f t="shared" si="23"/>
        <v>0.66666666666666663</v>
      </c>
      <c r="ES45" s="457">
        <f t="shared" si="231"/>
        <v>1</v>
      </c>
      <c r="ET45" s="458">
        <f t="shared" si="232"/>
        <v>1</v>
      </c>
      <c r="EU45" s="458">
        <f t="shared" si="233"/>
        <v>1</v>
      </c>
      <c r="EV45" s="427">
        <f t="shared" si="234"/>
        <v>0.84</v>
      </c>
      <c r="EW45" s="767" t="s">
        <v>368</v>
      </c>
      <c r="EX45" s="734" t="s">
        <v>178</v>
      </c>
      <c r="EY45" s="734" t="s">
        <v>178</v>
      </c>
      <c r="EZ45" s="734" t="s">
        <v>369</v>
      </c>
      <c r="FA45" s="734" t="s">
        <v>184</v>
      </c>
      <c r="FB45" s="769"/>
      <c r="FC45" s="80"/>
      <c r="FD45" s="80"/>
    </row>
    <row r="46" spans="1:160" ht="30" customHeight="1" x14ac:dyDescent="0.25">
      <c r="A46" s="694"/>
      <c r="B46" s="694"/>
      <c r="C46" s="694"/>
      <c r="D46" s="694"/>
      <c r="E46" s="694"/>
      <c r="F46" s="81" t="s">
        <v>349</v>
      </c>
      <c r="G46" s="410">
        <f t="shared" si="243"/>
        <v>1493966566</v>
      </c>
      <c r="H46" s="440">
        <v>120000000</v>
      </c>
      <c r="I46" s="413"/>
      <c r="J46" s="413"/>
      <c r="K46" s="413">
        <v>120000000</v>
      </c>
      <c r="L46" s="413">
        <v>0</v>
      </c>
      <c r="M46" s="413">
        <v>104955000</v>
      </c>
      <c r="N46" s="413">
        <v>90696000</v>
      </c>
      <c r="O46" s="413">
        <v>104955000</v>
      </c>
      <c r="P46" s="413">
        <v>90696000</v>
      </c>
      <c r="Q46" s="413">
        <v>104955000</v>
      </c>
      <c r="R46" s="413">
        <v>90696000</v>
      </c>
      <c r="S46" s="413">
        <v>109624000</v>
      </c>
      <c r="T46" s="410">
        <v>90696000</v>
      </c>
      <c r="U46" s="410">
        <v>109624000</v>
      </c>
      <c r="V46" s="410">
        <v>109624000</v>
      </c>
      <c r="W46" s="406">
        <f t="shared" si="244"/>
        <v>120000000</v>
      </c>
      <c r="X46" s="406">
        <f t="shared" si="245"/>
        <v>120000000</v>
      </c>
      <c r="Y46" s="406">
        <f t="shared" si="246"/>
        <v>109624000</v>
      </c>
      <c r="Z46" s="410">
        <f t="shared" ref="Z46:AA46" si="262">+U46</f>
        <v>109624000</v>
      </c>
      <c r="AA46" s="410">
        <f t="shared" si="262"/>
        <v>109624000</v>
      </c>
      <c r="AB46" s="410">
        <v>349839000</v>
      </c>
      <c r="AC46" s="410">
        <v>0</v>
      </c>
      <c r="AD46" s="410">
        <v>0</v>
      </c>
      <c r="AE46" s="410">
        <v>313790000</v>
      </c>
      <c r="AF46" s="410">
        <v>313790000</v>
      </c>
      <c r="AG46" s="410">
        <v>0</v>
      </c>
      <c r="AH46" s="410">
        <v>0</v>
      </c>
      <c r="AI46" s="410">
        <v>0</v>
      </c>
      <c r="AJ46" s="410">
        <v>0</v>
      </c>
      <c r="AK46" s="410">
        <v>0</v>
      </c>
      <c r="AL46" s="410">
        <v>0</v>
      </c>
      <c r="AM46" s="410">
        <v>0</v>
      </c>
      <c r="AN46" s="410">
        <v>0</v>
      </c>
      <c r="AO46" s="410">
        <v>0</v>
      </c>
      <c r="AP46" s="410">
        <v>0</v>
      </c>
      <c r="AQ46" s="410">
        <v>0</v>
      </c>
      <c r="AR46" s="410">
        <v>0</v>
      </c>
      <c r="AS46" s="410">
        <v>5632000</v>
      </c>
      <c r="AT46" s="410">
        <v>10314000</v>
      </c>
      <c r="AU46" s="410">
        <v>10314000</v>
      </c>
      <c r="AV46" s="410">
        <f>13916000-11034000</f>
        <v>2882000</v>
      </c>
      <c r="AW46" s="410">
        <f>4054000</f>
        <v>4054000</v>
      </c>
      <c r="AX46" s="410">
        <v>0</v>
      </c>
      <c r="AY46" s="410">
        <v>0</v>
      </c>
      <c r="AZ46" s="410">
        <v>5517400</v>
      </c>
      <c r="BA46" s="410">
        <f>AY46+AW46+AU46+AS46+AQ46+AO46+AM46+AK46+AI46+AG46+AE46+AC46</f>
        <v>333790000</v>
      </c>
      <c r="BB46" s="410">
        <f t="shared" si="248"/>
        <v>333790000</v>
      </c>
      <c r="BC46" s="410">
        <f t="shared" si="249"/>
        <v>332503400</v>
      </c>
      <c r="BD46" s="410">
        <f t="shared" si="250"/>
        <v>333790000</v>
      </c>
      <c r="BE46" s="410">
        <f t="shared" si="251"/>
        <v>332503400</v>
      </c>
      <c r="BF46" s="410">
        <v>309585000</v>
      </c>
      <c r="BG46" s="410">
        <v>303798900</v>
      </c>
      <c r="BH46" s="410">
        <v>303798900</v>
      </c>
      <c r="BI46" s="410">
        <v>0</v>
      </c>
      <c r="BJ46" s="410">
        <v>0</v>
      </c>
      <c r="BK46" s="410">
        <v>0</v>
      </c>
      <c r="BL46" s="410">
        <v>0</v>
      </c>
      <c r="BM46" s="410">
        <v>0</v>
      </c>
      <c r="BN46" s="410">
        <v>0</v>
      </c>
      <c r="BO46" s="410">
        <v>0</v>
      </c>
      <c r="BP46" s="410">
        <v>0</v>
      </c>
      <c r="BQ46" s="410">
        <v>0</v>
      </c>
      <c r="BR46" s="410">
        <v>4898000</v>
      </c>
      <c r="BS46" s="410">
        <v>-556800</v>
      </c>
      <c r="BT46" s="410">
        <v>0</v>
      </c>
      <c r="BU46" s="410">
        <v>0</v>
      </c>
      <c r="BV46" s="410">
        <v>0</v>
      </c>
      <c r="BW46" s="410">
        <v>0</v>
      </c>
      <c r="BX46" s="410">
        <v>0</v>
      </c>
      <c r="BY46" s="410">
        <v>0</v>
      </c>
      <c r="BZ46" s="410">
        <v>0</v>
      </c>
      <c r="CA46" s="410">
        <v>26935168</v>
      </c>
      <c r="CB46" s="410">
        <v>17869333</v>
      </c>
      <c r="CC46" s="410">
        <v>5786100</v>
      </c>
      <c r="CD46" s="410">
        <v>9397133</v>
      </c>
      <c r="CE46" s="410">
        <f>CC46+CA46+BY46+BW46+BU46+BS46+BQ46+BO46+BM46+BK46+BI46+BG46</f>
        <v>335963368</v>
      </c>
      <c r="CF46" s="410">
        <f t="shared" si="252"/>
        <v>335963368</v>
      </c>
      <c r="CG46" s="410">
        <f t="shared" si="253"/>
        <v>335963366</v>
      </c>
      <c r="CH46" s="410">
        <f t="shared" si="254"/>
        <v>335963368</v>
      </c>
      <c r="CI46" s="410">
        <f t="shared" si="255"/>
        <v>335963366</v>
      </c>
      <c r="CJ46" s="410">
        <v>360437000</v>
      </c>
      <c r="CK46" s="410">
        <v>0</v>
      </c>
      <c r="CL46" s="410"/>
      <c r="CM46" s="410">
        <v>285910000</v>
      </c>
      <c r="CN46" s="410">
        <v>285910000</v>
      </c>
      <c r="CO46" s="410">
        <v>0</v>
      </c>
      <c r="CP46" s="410">
        <v>0</v>
      </c>
      <c r="CQ46" s="410">
        <v>31563000</v>
      </c>
      <c r="CR46" s="410">
        <v>31563000</v>
      </c>
      <c r="CS46" s="410"/>
      <c r="CT46" s="410">
        <v>0</v>
      </c>
      <c r="CU46" s="410"/>
      <c r="CV46" s="410"/>
      <c r="CW46" s="410">
        <v>-27900200</v>
      </c>
      <c r="CX46" s="410"/>
      <c r="CY46" s="410"/>
      <c r="CZ46" s="410">
        <v>0</v>
      </c>
      <c r="DA46" s="410"/>
      <c r="DB46" s="410"/>
      <c r="DC46" s="410">
        <v>3380233</v>
      </c>
      <c r="DD46" s="410"/>
      <c r="DE46" s="410">
        <v>1028767</v>
      </c>
      <c r="DF46" s="410"/>
      <c r="DG46" s="410">
        <v>42964000</v>
      </c>
      <c r="DH46" s="410">
        <v>19472800</v>
      </c>
      <c r="DI46" s="410">
        <f t="shared" si="256"/>
        <v>336945800</v>
      </c>
      <c r="DJ46" s="410">
        <f t="shared" ref="DJ46:DK46" si="263">CK46+CM46+CO46+CQ46+CS46+CU46+CW46+CY46+DA46+DC46+DE46+DG46</f>
        <v>336945800</v>
      </c>
      <c r="DK46" s="410">
        <f t="shared" si="263"/>
        <v>336945800</v>
      </c>
      <c r="DL46" s="410">
        <f t="shared" si="258"/>
        <v>336945800</v>
      </c>
      <c r="DM46" s="410">
        <f t="shared" si="259"/>
        <v>336945800</v>
      </c>
      <c r="DN46" s="410">
        <v>378930000</v>
      </c>
      <c r="DO46" s="411"/>
      <c r="DP46" s="411"/>
      <c r="DQ46" s="411"/>
      <c r="DR46" s="411"/>
      <c r="DS46" s="411"/>
      <c r="DT46" s="411"/>
      <c r="DU46" s="411"/>
      <c r="DV46" s="411"/>
      <c r="DW46" s="411"/>
      <c r="DX46" s="411"/>
      <c r="DY46" s="411"/>
      <c r="DZ46" s="411"/>
      <c r="EA46" s="411"/>
      <c r="EB46" s="411"/>
      <c r="EC46" s="411"/>
      <c r="ED46" s="411"/>
      <c r="EE46" s="411"/>
      <c r="EF46" s="411"/>
      <c r="EG46" s="411"/>
      <c r="EH46" s="411"/>
      <c r="EI46" s="411"/>
      <c r="EJ46" s="411"/>
      <c r="EK46" s="411"/>
      <c r="EL46" s="411"/>
      <c r="EM46" s="402">
        <f t="shared" si="242"/>
        <v>0</v>
      </c>
      <c r="EN46" s="413">
        <f t="shared" ref="EN46:EO46" si="264">DO46+DQ46+DS46+DU46</f>
        <v>0</v>
      </c>
      <c r="EO46" s="413">
        <f t="shared" si="264"/>
        <v>0</v>
      </c>
      <c r="EP46" s="410">
        <f t="shared" si="261"/>
        <v>0</v>
      </c>
      <c r="EQ46" s="413"/>
      <c r="ER46" s="407">
        <f t="shared" si="23"/>
        <v>0.45323526673494086</v>
      </c>
      <c r="ES46" s="407">
        <f t="shared" si="231"/>
        <v>1</v>
      </c>
      <c r="ET46" s="408">
        <f t="shared" si="232"/>
        <v>1</v>
      </c>
      <c r="EU46" s="408">
        <f t="shared" si="233"/>
        <v>0.99884746457219453</v>
      </c>
      <c r="EV46" s="409">
        <f t="shared" si="234"/>
        <v>0.74635978567140171</v>
      </c>
      <c r="EW46" s="735"/>
      <c r="EX46" s="735"/>
      <c r="EY46" s="735"/>
      <c r="EZ46" s="735"/>
      <c r="FA46" s="735"/>
      <c r="FB46" s="770"/>
      <c r="FC46" s="82"/>
      <c r="FD46" s="82"/>
    </row>
    <row r="47" spans="1:160" ht="30" customHeight="1" x14ac:dyDescent="0.25">
      <c r="A47" s="694"/>
      <c r="B47" s="694"/>
      <c r="C47" s="694"/>
      <c r="D47" s="694"/>
      <c r="E47" s="694"/>
      <c r="F47" s="83" t="s">
        <v>350</v>
      </c>
      <c r="G47" s="410"/>
      <c r="H47" s="440"/>
      <c r="I47" s="413"/>
      <c r="J47" s="413"/>
      <c r="K47" s="413"/>
      <c r="L47" s="413"/>
      <c r="M47" s="413"/>
      <c r="N47" s="413"/>
      <c r="O47" s="413"/>
      <c r="P47" s="413"/>
      <c r="Q47" s="413"/>
      <c r="R47" s="413"/>
      <c r="S47" s="413"/>
      <c r="T47" s="410"/>
      <c r="U47" s="410"/>
      <c r="V47" s="410"/>
      <c r="W47" s="406">
        <f t="shared" si="244"/>
        <v>0</v>
      </c>
      <c r="X47" s="406">
        <f t="shared" si="245"/>
        <v>0</v>
      </c>
      <c r="Y47" s="406">
        <f t="shared" si="246"/>
        <v>0</v>
      </c>
      <c r="Z47" s="410">
        <f t="shared" ref="Z47:AA47" si="265">+U47</f>
        <v>0</v>
      </c>
      <c r="AA47" s="410">
        <f t="shared" si="265"/>
        <v>0</v>
      </c>
      <c r="AB47" s="410"/>
      <c r="AC47" s="410"/>
      <c r="AD47" s="410"/>
      <c r="AE47" s="410"/>
      <c r="AF47" s="410"/>
      <c r="AG47" s="410">
        <v>14248600</v>
      </c>
      <c r="AH47" s="410">
        <v>14248600</v>
      </c>
      <c r="AI47" s="410">
        <f>45283800-AH47</f>
        <v>31035200</v>
      </c>
      <c r="AJ47" s="410">
        <v>31035200</v>
      </c>
      <c r="AK47" s="410">
        <v>31379000</v>
      </c>
      <c r="AL47" s="410">
        <v>31379000</v>
      </c>
      <c r="AM47" s="410">
        <v>31561260</v>
      </c>
      <c r="AN47" s="410">
        <v>31379000</v>
      </c>
      <c r="AO47" s="410">
        <v>31561260</v>
      </c>
      <c r="AP47" s="410">
        <v>27941000</v>
      </c>
      <c r="AQ47" s="410">
        <v>31561260</v>
      </c>
      <c r="AR47" s="410">
        <v>27941000</v>
      </c>
      <c r="AS47" s="410">
        <v>31561260</v>
      </c>
      <c r="AT47" s="410">
        <v>31379000</v>
      </c>
      <c r="AU47" s="410">
        <v>31561260</v>
      </c>
      <c r="AV47" s="410">
        <f>31722800</f>
        <v>31722800</v>
      </c>
      <c r="AW47" s="410">
        <v>31561260</v>
      </c>
      <c r="AX47" s="410">
        <v>42151400</v>
      </c>
      <c r="AY47" s="410">
        <v>31561260</v>
      </c>
      <c r="AZ47" s="410">
        <v>36095667</v>
      </c>
      <c r="BA47" s="410">
        <f>AW47+AU47+AS47+AQ47+AO47+AM47+AK47+AI47+AG47+AE47+AC47+AY47</f>
        <v>297591620</v>
      </c>
      <c r="BB47" s="410">
        <f t="shared" si="248"/>
        <v>297591620</v>
      </c>
      <c r="BC47" s="410">
        <f t="shared" si="249"/>
        <v>305272667</v>
      </c>
      <c r="BD47" s="410">
        <f t="shared" si="250"/>
        <v>297591620</v>
      </c>
      <c r="BE47" s="410">
        <f t="shared" si="251"/>
        <v>305272667</v>
      </c>
      <c r="BF47" s="410"/>
      <c r="BG47" s="410">
        <v>0</v>
      </c>
      <c r="BH47" s="410">
        <v>0</v>
      </c>
      <c r="BI47" s="410">
        <v>18056334</v>
      </c>
      <c r="BJ47" s="410">
        <v>818300</v>
      </c>
      <c r="BK47" s="410">
        <v>31602000</v>
      </c>
      <c r="BL47" s="410">
        <f>31224233-818300</f>
        <v>30405933</v>
      </c>
      <c r="BM47" s="410">
        <v>31602000</v>
      </c>
      <c r="BN47" s="410">
        <v>31602000</v>
      </c>
      <c r="BO47" s="410">
        <v>31602000</v>
      </c>
      <c r="BP47" s="410">
        <v>31602000</v>
      </c>
      <c r="BQ47" s="410">
        <v>36500000</v>
      </c>
      <c r="BR47" s="410">
        <v>31602000</v>
      </c>
      <c r="BS47" s="410">
        <v>31602000</v>
      </c>
      <c r="BT47" s="410">
        <v>31602000</v>
      </c>
      <c r="BU47" s="410">
        <v>31602000</v>
      </c>
      <c r="BV47" s="410">
        <v>31602000</v>
      </c>
      <c r="BW47" s="410">
        <v>31602000</v>
      </c>
      <c r="BX47" s="410">
        <v>32136233.12525171</v>
      </c>
      <c r="BY47" s="410">
        <v>29264000</v>
      </c>
      <c r="BZ47" s="410">
        <v>28242051.87474829</v>
      </c>
      <c r="CA47" s="410">
        <v>24938700</v>
      </c>
      <c r="CB47" s="410">
        <v>27510500</v>
      </c>
      <c r="CC47" s="410">
        <f>11213966+26378368</f>
        <v>37592334</v>
      </c>
      <c r="CD47" s="410">
        <v>36078203</v>
      </c>
      <c r="CE47" s="410">
        <f>CA47+BY47+BW47+BU47+BS47+BQ47+BO47+BM47+BK47+BI47+BG47+CC47</f>
        <v>335963368</v>
      </c>
      <c r="CF47" s="410">
        <f t="shared" si="252"/>
        <v>335963368</v>
      </c>
      <c r="CG47" s="410">
        <f t="shared" si="253"/>
        <v>313201221</v>
      </c>
      <c r="CH47" s="410">
        <f t="shared" si="254"/>
        <v>335963368</v>
      </c>
      <c r="CI47" s="410">
        <f t="shared" si="255"/>
        <v>313201221</v>
      </c>
      <c r="CJ47" s="410"/>
      <c r="CK47" s="410"/>
      <c r="CL47" s="410"/>
      <c r="CM47" s="410"/>
      <c r="CN47" s="410"/>
      <c r="CO47" s="410">
        <v>7574200</v>
      </c>
      <c r="CP47" s="410">
        <v>7574200</v>
      </c>
      <c r="CQ47" s="410">
        <v>28591000</v>
      </c>
      <c r="CR47" s="410">
        <v>28444033</v>
      </c>
      <c r="CS47" s="410">
        <v>32098000</v>
      </c>
      <c r="CT47" s="410">
        <v>28591000</v>
      </c>
      <c r="CU47" s="410">
        <v>32098000</v>
      </c>
      <c r="CV47" s="410">
        <v>28591000</v>
      </c>
      <c r="CW47" s="410">
        <v>32098000</v>
      </c>
      <c r="CX47" s="410">
        <v>34436000</v>
      </c>
      <c r="CY47" s="410">
        <v>32098000</v>
      </c>
      <c r="CZ47" s="410">
        <v>35605000</v>
      </c>
      <c r="DA47" s="410">
        <v>32098000</v>
      </c>
      <c r="DB47" s="410">
        <v>28591000</v>
      </c>
      <c r="DC47" s="410">
        <v>32098000</v>
      </c>
      <c r="DD47" s="410">
        <v>35605000</v>
      </c>
      <c r="DE47" s="410">
        <v>32098000</v>
      </c>
      <c r="DF47" s="410">
        <v>32098000</v>
      </c>
      <c r="DG47" s="410">
        <f>99585800-23491200</f>
        <v>76094600</v>
      </c>
      <c r="DH47" s="410">
        <v>49266000</v>
      </c>
      <c r="DI47" s="410">
        <f t="shared" si="256"/>
        <v>336945800</v>
      </c>
      <c r="DJ47" s="410">
        <f t="shared" ref="DJ47:DK47" si="266">CK47+CM47+CO47+CQ47+CS47+CU47+CW47+CY47+DA47+DC47+DE47+DG47</f>
        <v>336945800</v>
      </c>
      <c r="DK47" s="410">
        <f t="shared" si="266"/>
        <v>308801233</v>
      </c>
      <c r="DL47" s="410">
        <f t="shared" si="258"/>
        <v>336945800</v>
      </c>
      <c r="DM47" s="410">
        <f t="shared" si="259"/>
        <v>308801233</v>
      </c>
      <c r="DN47" s="410"/>
      <c r="DO47" s="411"/>
      <c r="DP47" s="411"/>
      <c r="DQ47" s="411"/>
      <c r="DR47" s="411"/>
      <c r="DS47" s="411"/>
      <c r="DT47" s="411"/>
      <c r="DU47" s="411"/>
      <c r="DV47" s="411"/>
      <c r="DW47" s="411"/>
      <c r="DX47" s="411"/>
      <c r="DY47" s="411"/>
      <c r="DZ47" s="411"/>
      <c r="EA47" s="411"/>
      <c r="EB47" s="411"/>
      <c r="EC47" s="411"/>
      <c r="ED47" s="411"/>
      <c r="EE47" s="411"/>
      <c r="EF47" s="411"/>
      <c r="EG47" s="411"/>
      <c r="EH47" s="411"/>
      <c r="EI47" s="411"/>
      <c r="EJ47" s="411"/>
      <c r="EK47" s="411"/>
      <c r="EL47" s="411"/>
      <c r="EM47" s="402">
        <f t="shared" ref="EM47:EM50" si="267">EI47+EG47+EE47+EC47+EA47+DY47+DW47+DU47+DS47+DQ47+DO47+EK47</f>
        <v>0</v>
      </c>
      <c r="EN47" s="413">
        <f t="shared" ref="EN47:EO47" si="268">DO47+DQ47+DS47+DU47</f>
        <v>0</v>
      </c>
      <c r="EO47" s="413">
        <f t="shared" si="268"/>
        <v>0</v>
      </c>
      <c r="EP47" s="412">
        <f t="shared" ref="EP47:EP48" si="269">DQ47+DS47+DU47+DW47+DY47+EA47+EC47+EE47+EG47+EI47+EK47</f>
        <v>0</v>
      </c>
      <c r="EQ47" s="413"/>
      <c r="ER47" s="407">
        <f t="shared" si="23"/>
        <v>0.64743096093546715</v>
      </c>
      <c r="ES47" s="407">
        <f t="shared" si="231"/>
        <v>0.91647153043605234</v>
      </c>
      <c r="ET47" s="408">
        <f t="shared" si="232"/>
        <v>0.91647153043605234</v>
      </c>
      <c r="EU47" s="408">
        <f t="shared" si="233"/>
        <v>0.95546045141387359</v>
      </c>
      <c r="EV47" s="409">
        <f t="shared" ref="EV47:EV48" si="270">IFERROR((AA47+BE47+CI47+DM47)/G47,0)</f>
        <v>0</v>
      </c>
      <c r="EW47" s="735"/>
      <c r="EX47" s="735"/>
      <c r="EY47" s="735"/>
      <c r="EZ47" s="735"/>
      <c r="FA47" s="735"/>
      <c r="FB47" s="770"/>
      <c r="FC47" s="82"/>
      <c r="FD47" s="82"/>
    </row>
    <row r="48" spans="1:160" ht="30" customHeight="1" x14ac:dyDescent="0.25">
      <c r="A48" s="694"/>
      <c r="B48" s="694"/>
      <c r="C48" s="694"/>
      <c r="D48" s="694"/>
      <c r="E48" s="694"/>
      <c r="F48" s="84" t="s">
        <v>351</v>
      </c>
      <c r="G48" s="374"/>
      <c r="H48" s="415"/>
      <c r="I48" s="416"/>
      <c r="J48" s="416"/>
      <c r="K48" s="416"/>
      <c r="L48" s="416"/>
      <c r="M48" s="416"/>
      <c r="N48" s="416"/>
      <c r="O48" s="416"/>
      <c r="P48" s="416"/>
      <c r="Q48" s="416"/>
      <c r="R48" s="416"/>
      <c r="S48" s="416"/>
      <c r="T48" s="416"/>
      <c r="U48" s="416"/>
      <c r="V48" s="416"/>
      <c r="W48" s="406">
        <f t="shared" si="244"/>
        <v>0</v>
      </c>
      <c r="X48" s="406">
        <f t="shared" si="245"/>
        <v>0</v>
      </c>
      <c r="Y48" s="406">
        <f t="shared" si="246"/>
        <v>0</v>
      </c>
      <c r="Z48" s="406">
        <f t="shared" ref="Z48:AA48" si="271">+U48</f>
        <v>0</v>
      </c>
      <c r="AA48" s="406">
        <f t="shared" si="271"/>
        <v>0</v>
      </c>
      <c r="AB48" s="374"/>
      <c r="AC48" s="374"/>
      <c r="AD48" s="374"/>
      <c r="AE48" s="374"/>
      <c r="AF48" s="374"/>
      <c r="AG48" s="374"/>
      <c r="AH48" s="374"/>
      <c r="AI48" s="374"/>
      <c r="AJ48" s="374"/>
      <c r="AK48" s="404"/>
      <c r="AL48" s="404"/>
      <c r="AM48" s="404"/>
      <c r="AN48" s="404"/>
      <c r="AO48" s="404"/>
      <c r="AP48" s="404"/>
      <c r="AQ48" s="404"/>
      <c r="AR48" s="404"/>
      <c r="AS48" s="404"/>
      <c r="AT48" s="404"/>
      <c r="AU48" s="404"/>
      <c r="AV48" s="404"/>
      <c r="AW48" s="404"/>
      <c r="AX48" s="404"/>
      <c r="AY48" s="404"/>
      <c r="AZ48" s="404"/>
      <c r="BA48" s="402">
        <v>0</v>
      </c>
      <c r="BB48" s="406">
        <f t="shared" si="248"/>
        <v>0</v>
      </c>
      <c r="BC48" s="406">
        <f t="shared" si="249"/>
        <v>0</v>
      </c>
      <c r="BD48" s="406">
        <f>AC48+AE48+AG48+AI48+AK48+AM48+AO48+AQ48+AS48+AU48+AW48+AY48</f>
        <v>0</v>
      </c>
      <c r="BE48" s="406">
        <f t="shared" si="251"/>
        <v>0</v>
      </c>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2">
        <v>0</v>
      </c>
      <c r="CF48" s="406">
        <f t="shared" si="252"/>
        <v>0</v>
      </c>
      <c r="CG48" s="406">
        <f t="shared" si="253"/>
        <v>0</v>
      </c>
      <c r="CH48" s="406">
        <f>BG48+BI48+BK48+BM48+BO48+BQ48+BS48+BU48+BW48+BY48+CA48+CC48</f>
        <v>0</v>
      </c>
      <c r="CI48" s="406">
        <f t="shared" si="255"/>
        <v>0</v>
      </c>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25">
        <f t="shared" si="256"/>
        <v>0</v>
      </c>
      <c r="DJ48" s="402">
        <f t="shared" ref="DJ48:DK48" si="272">CK48+CM48+CO48+CQ48+CS48+CU48+CW48+CY48+DA48+DC48+DE48+DG48</f>
        <v>0</v>
      </c>
      <c r="DK48" s="402">
        <f t="shared" si="272"/>
        <v>0</v>
      </c>
      <c r="DL48" s="425">
        <f t="shared" si="258"/>
        <v>0</v>
      </c>
      <c r="DM48" s="402">
        <f t="shared" si="259"/>
        <v>0</v>
      </c>
      <c r="DN48" s="404"/>
      <c r="DO48" s="404"/>
      <c r="DP48" s="404"/>
      <c r="DQ48" s="404"/>
      <c r="DR48" s="404"/>
      <c r="DS48" s="404"/>
      <c r="DT48" s="404"/>
      <c r="DU48" s="404"/>
      <c r="DV48" s="404"/>
      <c r="DW48" s="404"/>
      <c r="DX48" s="404"/>
      <c r="DY48" s="404"/>
      <c r="DZ48" s="404"/>
      <c r="EA48" s="404"/>
      <c r="EB48" s="404"/>
      <c r="EC48" s="404"/>
      <c r="ED48" s="404"/>
      <c r="EE48" s="404"/>
      <c r="EF48" s="404"/>
      <c r="EG48" s="404"/>
      <c r="EH48" s="404"/>
      <c r="EI48" s="404"/>
      <c r="EJ48" s="404"/>
      <c r="EK48" s="404"/>
      <c r="EL48" s="404"/>
      <c r="EM48" s="405">
        <f t="shared" si="267"/>
        <v>0</v>
      </c>
      <c r="EN48" s="429">
        <f t="shared" ref="EN48:EO48" si="273">DO48+DQ48+DS48+DU48</f>
        <v>0</v>
      </c>
      <c r="EO48" s="429">
        <f t="shared" si="273"/>
        <v>0</v>
      </c>
      <c r="EP48" s="430">
        <f t="shared" si="269"/>
        <v>0</v>
      </c>
      <c r="EQ48" s="416"/>
      <c r="ER48" s="407">
        <f>IFERROR(DH48/DG48,0)</f>
        <v>0</v>
      </c>
      <c r="ES48" s="407">
        <f>IFERROR(DK48/DJ48,0)</f>
        <v>0</v>
      </c>
      <c r="ET48" s="408">
        <f>IFERROR(DM48/DL48,0)</f>
        <v>0</v>
      </c>
      <c r="EU48" s="408">
        <f>IFERROR((AA48+BE48+CI48+DK48)/(Z48+BD48+CH48+DJ48),0)</f>
        <v>0</v>
      </c>
      <c r="EV48" s="409">
        <f t="shared" si="270"/>
        <v>0</v>
      </c>
      <c r="EW48" s="735"/>
      <c r="EX48" s="735"/>
      <c r="EY48" s="735"/>
      <c r="EZ48" s="735"/>
      <c r="FA48" s="735"/>
      <c r="FB48" s="770"/>
      <c r="FC48" s="80"/>
      <c r="FD48" s="80"/>
    </row>
    <row r="49" spans="1:160" ht="30" customHeight="1" x14ac:dyDescent="0.25">
      <c r="A49" s="694"/>
      <c r="B49" s="694"/>
      <c r="C49" s="694"/>
      <c r="D49" s="694"/>
      <c r="E49" s="694"/>
      <c r="F49" s="85" t="s">
        <v>352</v>
      </c>
      <c r="G49" s="410">
        <f>AA49+BE49+CI49+DL49+DN49</f>
        <v>80631931</v>
      </c>
      <c r="H49" s="440"/>
      <c r="I49" s="413"/>
      <c r="J49" s="413"/>
      <c r="K49" s="413"/>
      <c r="L49" s="413"/>
      <c r="M49" s="413"/>
      <c r="N49" s="413"/>
      <c r="O49" s="413"/>
      <c r="P49" s="413"/>
      <c r="Q49" s="413"/>
      <c r="R49" s="413"/>
      <c r="S49" s="413"/>
      <c r="T49" s="413"/>
      <c r="U49" s="413"/>
      <c r="V49" s="413"/>
      <c r="W49" s="406">
        <f t="shared" si="244"/>
        <v>0</v>
      </c>
      <c r="X49" s="406">
        <f t="shared" si="245"/>
        <v>0</v>
      </c>
      <c r="Y49" s="406">
        <f t="shared" si="246"/>
        <v>0</v>
      </c>
      <c r="Z49" s="410">
        <f t="shared" ref="Z49:AA49" si="274">+U49</f>
        <v>0</v>
      </c>
      <c r="AA49" s="410">
        <f t="shared" si="274"/>
        <v>0</v>
      </c>
      <c r="AB49" s="410">
        <v>30874233</v>
      </c>
      <c r="AC49" s="410">
        <v>13317533</v>
      </c>
      <c r="AD49" s="410">
        <v>13317533</v>
      </c>
      <c r="AE49" s="410">
        <f>30874233-AD49</f>
        <v>17556700</v>
      </c>
      <c r="AF49" s="410">
        <v>17556700</v>
      </c>
      <c r="AG49" s="410">
        <v>0</v>
      </c>
      <c r="AH49" s="410">
        <v>0</v>
      </c>
      <c r="AI49" s="410">
        <v>0</v>
      </c>
      <c r="AJ49" s="410">
        <v>0</v>
      </c>
      <c r="AK49" s="410">
        <v>0</v>
      </c>
      <c r="AL49" s="410">
        <v>0</v>
      </c>
      <c r="AM49" s="410"/>
      <c r="AN49" s="410"/>
      <c r="AO49" s="410">
        <v>0</v>
      </c>
      <c r="AP49" s="410">
        <v>0</v>
      </c>
      <c r="AQ49" s="410"/>
      <c r="AR49" s="410"/>
      <c r="AS49" s="410"/>
      <c r="AT49" s="410">
        <v>0</v>
      </c>
      <c r="AU49" s="410"/>
      <c r="AV49" s="410">
        <v>0</v>
      </c>
      <c r="AW49" s="410"/>
      <c r="AX49" s="410">
        <v>0</v>
      </c>
      <c r="AY49" s="410"/>
      <c r="AZ49" s="410"/>
      <c r="BA49" s="410">
        <f>AW49+AU49+AS49+AQ49+AO49+AM49+AK49+AI49+AG49+AE49+AC49+AY49</f>
        <v>30874233</v>
      </c>
      <c r="BB49" s="410">
        <f t="shared" si="248"/>
        <v>30874233</v>
      </c>
      <c r="BC49" s="410">
        <f t="shared" si="249"/>
        <v>30874233</v>
      </c>
      <c r="BD49" s="410">
        <f>BA49</f>
        <v>30874233</v>
      </c>
      <c r="BE49" s="410">
        <f t="shared" si="251"/>
        <v>30874233</v>
      </c>
      <c r="BF49" s="410">
        <v>27230733</v>
      </c>
      <c r="BG49" s="410">
        <v>15311000</v>
      </c>
      <c r="BH49" s="410">
        <v>15311000</v>
      </c>
      <c r="BI49" s="410">
        <v>11919733</v>
      </c>
      <c r="BJ49" s="410">
        <v>11690533</v>
      </c>
      <c r="BK49" s="410">
        <v>0</v>
      </c>
      <c r="BL49" s="410">
        <v>0</v>
      </c>
      <c r="BM49" s="410">
        <v>-229200</v>
      </c>
      <c r="BN49" s="410">
        <v>0</v>
      </c>
      <c r="BO49" s="410">
        <v>0</v>
      </c>
      <c r="BP49" s="410"/>
      <c r="BQ49" s="410">
        <v>0</v>
      </c>
      <c r="BR49" s="410">
        <v>0</v>
      </c>
      <c r="BS49" s="410">
        <v>0</v>
      </c>
      <c r="BT49" s="410">
        <v>0</v>
      </c>
      <c r="BU49" s="410">
        <v>0</v>
      </c>
      <c r="BV49" s="410">
        <v>0</v>
      </c>
      <c r="BW49" s="410">
        <v>0</v>
      </c>
      <c r="BX49" s="410"/>
      <c r="BY49" s="410">
        <v>0</v>
      </c>
      <c r="BZ49" s="410">
        <v>0</v>
      </c>
      <c r="CA49" s="410">
        <v>0</v>
      </c>
      <c r="CB49" s="410">
        <v>0</v>
      </c>
      <c r="CC49" s="410">
        <v>0</v>
      </c>
      <c r="CD49" s="410"/>
      <c r="CE49" s="410">
        <f>CA49+BY49+BW49+BU49+BS49+BQ49+BO49+BM49+BK49+BI49+BG49+CC49</f>
        <v>27001533</v>
      </c>
      <c r="CF49" s="410">
        <f t="shared" si="252"/>
        <v>27001533</v>
      </c>
      <c r="CG49" s="410">
        <f t="shared" si="253"/>
        <v>27001533</v>
      </c>
      <c r="CH49" s="410">
        <f>CE49</f>
        <v>27001533</v>
      </c>
      <c r="CI49" s="410">
        <f t="shared" si="255"/>
        <v>27001533</v>
      </c>
      <c r="CJ49" s="410">
        <v>22762145</v>
      </c>
      <c r="CK49" s="410">
        <v>15222533</v>
      </c>
      <c r="CL49" s="410">
        <v>15222533</v>
      </c>
      <c r="CM49" s="410">
        <v>5142158</v>
      </c>
      <c r="CN49" s="410">
        <v>5142158</v>
      </c>
      <c r="CO49" s="410">
        <v>0</v>
      </c>
      <c r="CP49" s="410">
        <v>0</v>
      </c>
      <c r="CQ49" s="410"/>
      <c r="CR49" s="410">
        <v>0</v>
      </c>
      <c r="CS49" s="410">
        <v>2397454</v>
      </c>
      <c r="CT49" s="410">
        <v>0</v>
      </c>
      <c r="CU49" s="410"/>
      <c r="CV49" s="410"/>
      <c r="CW49" s="410"/>
      <c r="CX49" s="410">
        <v>110289</v>
      </c>
      <c r="CY49" s="410"/>
      <c r="CZ49" s="410"/>
      <c r="DA49" s="410"/>
      <c r="DB49" s="410"/>
      <c r="DC49" s="410"/>
      <c r="DD49" s="410">
        <v>2281185</v>
      </c>
      <c r="DE49" s="410"/>
      <c r="DF49" s="410"/>
      <c r="DG49" s="410">
        <v>-5980</v>
      </c>
      <c r="DH49" s="410"/>
      <c r="DI49" s="410">
        <f t="shared" si="256"/>
        <v>22756165</v>
      </c>
      <c r="DJ49" s="410">
        <f t="shared" ref="DJ49:DK49" si="275">CK49+CM49+CO49+CQ49+CS49+CU49+CW49+CY49+DA49+DC49+DE49+DG49</f>
        <v>22756165</v>
      </c>
      <c r="DK49" s="410">
        <f t="shared" si="275"/>
        <v>22756165</v>
      </c>
      <c r="DL49" s="410">
        <f t="shared" si="258"/>
        <v>22756165</v>
      </c>
      <c r="DM49" s="410">
        <f t="shared" si="259"/>
        <v>22756165</v>
      </c>
      <c r="DN49" s="410"/>
      <c r="DO49" s="411"/>
      <c r="DP49" s="411"/>
      <c r="DQ49" s="411"/>
      <c r="DR49" s="411"/>
      <c r="DS49" s="411"/>
      <c r="DT49" s="411"/>
      <c r="DU49" s="411"/>
      <c r="DV49" s="411"/>
      <c r="DW49" s="411"/>
      <c r="DX49" s="411"/>
      <c r="DY49" s="411"/>
      <c r="DZ49" s="411"/>
      <c r="EA49" s="411"/>
      <c r="EB49" s="411"/>
      <c r="EC49" s="411"/>
      <c r="ED49" s="411"/>
      <c r="EE49" s="411"/>
      <c r="EF49" s="411"/>
      <c r="EG49" s="411"/>
      <c r="EH49" s="411"/>
      <c r="EI49" s="411"/>
      <c r="EJ49" s="411"/>
      <c r="EK49" s="411"/>
      <c r="EL49" s="411"/>
      <c r="EM49" s="405">
        <f t="shared" si="267"/>
        <v>0</v>
      </c>
      <c r="EN49" s="413">
        <f t="shared" ref="EN49:EO49" si="276">DO49+DQ49+DS49+DU49</f>
        <v>0</v>
      </c>
      <c r="EO49" s="413">
        <f t="shared" si="276"/>
        <v>0</v>
      </c>
      <c r="EP49" s="412">
        <f t="shared" ref="EP49:EP50" si="277">DQ49+DS49+DU49+DW49+DY49+EA49+EC49+EE49+EG49+EI49+EK49+DO49</f>
        <v>0</v>
      </c>
      <c r="EQ49" s="413"/>
      <c r="ER49" s="407">
        <f t="shared" si="23"/>
        <v>0</v>
      </c>
      <c r="ES49" s="407">
        <f t="shared" ref="ES49:ES54" si="278">DK49/DJ49</f>
        <v>1</v>
      </c>
      <c r="ET49" s="408">
        <f t="shared" ref="ET49:ET54" si="279">DM49/DL49</f>
        <v>1</v>
      </c>
      <c r="EU49" s="408">
        <f t="shared" ref="EU49:EU54" si="280">(AA49+BE49+CI49+DK49)/(Z49+BD49+CH49+DJ49)</f>
        <v>1</v>
      </c>
      <c r="EV49" s="409">
        <f t="shared" ref="EV49:EV53" si="281">(AA49+BE49+CI49+DM49)/G49</f>
        <v>1</v>
      </c>
      <c r="EW49" s="735"/>
      <c r="EX49" s="735"/>
      <c r="EY49" s="735"/>
      <c r="EZ49" s="735"/>
      <c r="FA49" s="735"/>
      <c r="FB49" s="770"/>
      <c r="FC49" s="82"/>
      <c r="FD49" s="82"/>
    </row>
    <row r="50" spans="1:160" ht="30" customHeight="1" thickBot="1" x14ac:dyDescent="0.3">
      <c r="A50" s="694"/>
      <c r="B50" s="694"/>
      <c r="C50" s="694"/>
      <c r="D50" s="694"/>
      <c r="E50" s="694"/>
      <c r="F50" s="84" t="s">
        <v>353</v>
      </c>
      <c r="G50" s="447">
        <f t="shared" ref="G50:G51" si="282">G45+G48</f>
        <v>100</v>
      </c>
      <c r="H50" s="467">
        <v>10</v>
      </c>
      <c r="I50" s="468"/>
      <c r="J50" s="468"/>
      <c r="K50" s="468">
        <v>10</v>
      </c>
      <c r="L50" s="468">
        <v>2</v>
      </c>
      <c r="M50" s="468">
        <v>10</v>
      </c>
      <c r="N50" s="469">
        <v>4</v>
      </c>
      <c r="O50" s="468">
        <v>10</v>
      </c>
      <c r="P50" s="469">
        <v>6</v>
      </c>
      <c r="Q50" s="468">
        <v>10</v>
      </c>
      <c r="R50" s="470">
        <v>8</v>
      </c>
      <c r="S50" s="468">
        <v>10</v>
      </c>
      <c r="T50" s="449">
        <v>9</v>
      </c>
      <c r="U50" s="447">
        <v>10</v>
      </c>
      <c r="V50" s="447">
        <v>10</v>
      </c>
      <c r="W50" s="450">
        <f t="shared" si="244"/>
        <v>10</v>
      </c>
      <c r="X50" s="450">
        <f t="shared" si="245"/>
        <v>10</v>
      </c>
      <c r="Y50" s="450">
        <f t="shared" si="246"/>
        <v>10</v>
      </c>
      <c r="Z50" s="450">
        <f t="shared" ref="Z50:AA50" si="283">+U50</f>
        <v>10</v>
      </c>
      <c r="AA50" s="450">
        <f t="shared" si="283"/>
        <v>10</v>
      </c>
      <c r="AB50" s="447">
        <v>20</v>
      </c>
      <c r="AC50" s="447">
        <v>1</v>
      </c>
      <c r="AD50" s="447">
        <v>1</v>
      </c>
      <c r="AE50" s="449">
        <v>1</v>
      </c>
      <c r="AF50" s="449">
        <v>1</v>
      </c>
      <c r="AG50" s="449">
        <v>1</v>
      </c>
      <c r="AH50" s="449">
        <v>1</v>
      </c>
      <c r="AI50" s="449">
        <v>2</v>
      </c>
      <c r="AJ50" s="449">
        <v>2</v>
      </c>
      <c r="AK50" s="477">
        <v>2</v>
      </c>
      <c r="AL50" s="477">
        <v>2</v>
      </c>
      <c r="AM50" s="477">
        <v>2</v>
      </c>
      <c r="AN50" s="477">
        <v>2</v>
      </c>
      <c r="AO50" s="477">
        <v>2</v>
      </c>
      <c r="AP50" s="449">
        <v>2</v>
      </c>
      <c r="AQ50" s="477">
        <v>2</v>
      </c>
      <c r="AR50" s="477">
        <v>2</v>
      </c>
      <c r="AS50" s="477">
        <v>2</v>
      </c>
      <c r="AT50" s="477">
        <v>2</v>
      </c>
      <c r="AU50" s="477">
        <v>2</v>
      </c>
      <c r="AV50" s="477">
        <v>2</v>
      </c>
      <c r="AW50" s="477">
        <v>2</v>
      </c>
      <c r="AX50" s="477">
        <v>2</v>
      </c>
      <c r="AY50" s="477">
        <v>1</v>
      </c>
      <c r="AZ50" s="477">
        <v>1</v>
      </c>
      <c r="BA50" s="449">
        <f>BA45+BA48</f>
        <v>20</v>
      </c>
      <c r="BB50" s="450">
        <f t="shared" si="248"/>
        <v>20</v>
      </c>
      <c r="BC50" s="450">
        <f t="shared" si="249"/>
        <v>20</v>
      </c>
      <c r="BD50" s="450">
        <f>BD45+BD48</f>
        <v>20</v>
      </c>
      <c r="BE50" s="450">
        <f t="shared" si="251"/>
        <v>20</v>
      </c>
      <c r="BF50" s="477">
        <v>20</v>
      </c>
      <c r="BG50" s="477">
        <f t="shared" ref="BG50:CD50" si="284">+BG45</f>
        <v>2</v>
      </c>
      <c r="BH50" s="477">
        <f t="shared" si="284"/>
        <v>2</v>
      </c>
      <c r="BI50" s="477">
        <f t="shared" si="284"/>
        <v>2</v>
      </c>
      <c r="BJ50" s="477">
        <f t="shared" si="284"/>
        <v>2</v>
      </c>
      <c r="BK50" s="477">
        <f t="shared" si="284"/>
        <v>2</v>
      </c>
      <c r="BL50" s="477">
        <f t="shared" si="284"/>
        <v>1</v>
      </c>
      <c r="BM50" s="477">
        <f t="shared" si="284"/>
        <v>2</v>
      </c>
      <c r="BN50" s="477">
        <f t="shared" si="284"/>
        <v>3</v>
      </c>
      <c r="BO50" s="477">
        <f t="shared" si="284"/>
        <v>2</v>
      </c>
      <c r="BP50" s="477">
        <f t="shared" si="284"/>
        <v>2</v>
      </c>
      <c r="BQ50" s="477">
        <f t="shared" si="284"/>
        <v>2</v>
      </c>
      <c r="BR50" s="477">
        <f t="shared" si="284"/>
        <v>2</v>
      </c>
      <c r="BS50" s="477">
        <f t="shared" si="284"/>
        <v>2</v>
      </c>
      <c r="BT50" s="477">
        <f t="shared" si="284"/>
        <v>2</v>
      </c>
      <c r="BU50" s="477">
        <f t="shared" si="284"/>
        <v>2</v>
      </c>
      <c r="BV50" s="477">
        <f t="shared" si="284"/>
        <v>2</v>
      </c>
      <c r="BW50" s="477">
        <f t="shared" si="284"/>
        <v>1</v>
      </c>
      <c r="BX50" s="477">
        <f t="shared" si="284"/>
        <v>1</v>
      </c>
      <c r="BY50" s="477">
        <f t="shared" si="284"/>
        <v>1</v>
      </c>
      <c r="BZ50" s="477">
        <f t="shared" si="284"/>
        <v>1</v>
      </c>
      <c r="CA50" s="477">
        <f t="shared" si="284"/>
        <v>1</v>
      </c>
      <c r="CB50" s="477">
        <f t="shared" si="284"/>
        <v>1</v>
      </c>
      <c r="CC50" s="477">
        <f t="shared" si="284"/>
        <v>1</v>
      </c>
      <c r="CD50" s="477">
        <f t="shared" si="284"/>
        <v>1</v>
      </c>
      <c r="CE50" s="449">
        <f>CE45+CE48</f>
        <v>20</v>
      </c>
      <c r="CF50" s="450">
        <f t="shared" si="252"/>
        <v>20</v>
      </c>
      <c r="CG50" s="450">
        <f t="shared" si="253"/>
        <v>20</v>
      </c>
      <c r="CH50" s="450">
        <f>CH45+CH48</f>
        <v>20</v>
      </c>
      <c r="CI50" s="450">
        <f t="shared" si="255"/>
        <v>20</v>
      </c>
      <c r="CJ50" s="477">
        <v>34</v>
      </c>
      <c r="CK50" s="449">
        <f t="shared" ref="CK50:DH50" si="285">+CK45</f>
        <v>0</v>
      </c>
      <c r="CL50" s="449">
        <f t="shared" si="285"/>
        <v>0</v>
      </c>
      <c r="CM50" s="449">
        <f t="shared" si="285"/>
        <v>1</v>
      </c>
      <c r="CN50" s="449">
        <f t="shared" si="285"/>
        <v>2</v>
      </c>
      <c r="CO50" s="449">
        <f t="shared" si="285"/>
        <v>4</v>
      </c>
      <c r="CP50" s="449">
        <f t="shared" si="285"/>
        <v>4</v>
      </c>
      <c r="CQ50" s="449">
        <f t="shared" si="285"/>
        <v>4</v>
      </c>
      <c r="CR50" s="449">
        <f t="shared" si="285"/>
        <v>4</v>
      </c>
      <c r="CS50" s="449">
        <f t="shared" si="285"/>
        <v>4</v>
      </c>
      <c r="CT50" s="449">
        <f t="shared" si="285"/>
        <v>4</v>
      </c>
      <c r="CU50" s="449">
        <f t="shared" si="285"/>
        <v>3</v>
      </c>
      <c r="CV50" s="449">
        <f t="shared" si="285"/>
        <v>3</v>
      </c>
      <c r="CW50" s="449">
        <f t="shared" si="285"/>
        <v>3</v>
      </c>
      <c r="CX50" s="449">
        <f t="shared" si="285"/>
        <v>3</v>
      </c>
      <c r="CY50" s="449">
        <f t="shared" si="285"/>
        <v>3</v>
      </c>
      <c r="CZ50" s="449">
        <f t="shared" si="285"/>
        <v>3</v>
      </c>
      <c r="DA50" s="449">
        <f t="shared" si="285"/>
        <v>3</v>
      </c>
      <c r="DB50" s="449">
        <f t="shared" si="285"/>
        <v>3</v>
      </c>
      <c r="DC50" s="449">
        <f t="shared" si="285"/>
        <v>3</v>
      </c>
      <c r="DD50" s="449">
        <f t="shared" si="285"/>
        <v>3</v>
      </c>
      <c r="DE50" s="449">
        <f t="shared" si="285"/>
        <v>3</v>
      </c>
      <c r="DF50" s="449">
        <f t="shared" si="285"/>
        <v>3</v>
      </c>
      <c r="DG50" s="449">
        <f t="shared" si="285"/>
        <v>3</v>
      </c>
      <c r="DH50" s="449">
        <f t="shared" si="285"/>
        <v>2</v>
      </c>
      <c r="DI50" s="490">
        <f t="shared" si="256"/>
        <v>34</v>
      </c>
      <c r="DJ50" s="449">
        <f t="shared" ref="DJ50:DK50" si="286">CK50+CM50+CO50+CQ50+CS50+CU50+CW50+CY50+DA50+DC50+DE50+DG50</f>
        <v>34</v>
      </c>
      <c r="DK50" s="449">
        <f t="shared" si="286"/>
        <v>34</v>
      </c>
      <c r="DL50" s="490">
        <f t="shared" si="258"/>
        <v>34</v>
      </c>
      <c r="DM50" s="449">
        <f t="shared" si="259"/>
        <v>34</v>
      </c>
      <c r="DN50" s="477">
        <v>16</v>
      </c>
      <c r="DO50" s="477"/>
      <c r="DP50" s="477"/>
      <c r="DQ50" s="477"/>
      <c r="DR50" s="477"/>
      <c r="DS50" s="477"/>
      <c r="DT50" s="477"/>
      <c r="DU50" s="477"/>
      <c r="DV50" s="477"/>
      <c r="DW50" s="477"/>
      <c r="DX50" s="477"/>
      <c r="DY50" s="477"/>
      <c r="DZ50" s="477"/>
      <c r="EA50" s="477"/>
      <c r="EB50" s="477"/>
      <c r="EC50" s="477"/>
      <c r="ED50" s="477"/>
      <c r="EE50" s="477"/>
      <c r="EF50" s="477"/>
      <c r="EG50" s="477"/>
      <c r="EH50" s="477"/>
      <c r="EI50" s="477"/>
      <c r="EJ50" s="477"/>
      <c r="EK50" s="477"/>
      <c r="EL50" s="477"/>
      <c r="EM50" s="449">
        <f t="shared" si="267"/>
        <v>0</v>
      </c>
      <c r="EN50" s="477"/>
      <c r="EO50" s="472">
        <f>DP50+DR50+DT50+DV50</f>
        <v>0</v>
      </c>
      <c r="EP50" s="473">
        <f t="shared" si="277"/>
        <v>0</v>
      </c>
      <c r="EQ50" s="472"/>
      <c r="ER50" s="451">
        <f t="shared" si="23"/>
        <v>0.66666666666666663</v>
      </c>
      <c r="ES50" s="451">
        <f t="shared" si="278"/>
        <v>1</v>
      </c>
      <c r="ET50" s="452">
        <f t="shared" si="279"/>
        <v>1</v>
      </c>
      <c r="EU50" s="452">
        <f t="shared" si="280"/>
        <v>1</v>
      </c>
      <c r="EV50" s="421">
        <f t="shared" si="281"/>
        <v>0.84</v>
      </c>
      <c r="EW50" s="735"/>
      <c r="EX50" s="735"/>
      <c r="EY50" s="735"/>
      <c r="EZ50" s="735"/>
      <c r="FA50" s="735"/>
      <c r="FB50" s="770"/>
      <c r="FC50" s="80"/>
      <c r="FD50" s="80"/>
    </row>
    <row r="51" spans="1:160" ht="39.75" customHeight="1" thickBot="1" x14ac:dyDescent="0.3">
      <c r="A51" s="694"/>
      <c r="B51" s="733"/>
      <c r="C51" s="733"/>
      <c r="D51" s="733"/>
      <c r="E51" s="733"/>
      <c r="F51" s="86" t="s">
        <v>354</v>
      </c>
      <c r="G51" s="459">
        <f t="shared" si="282"/>
        <v>1574598497</v>
      </c>
      <c r="H51" s="460">
        <f t="shared" ref="H51:DN51" si="287">H46+H49</f>
        <v>120000000</v>
      </c>
      <c r="I51" s="460">
        <f t="shared" si="287"/>
        <v>0</v>
      </c>
      <c r="J51" s="460">
        <f t="shared" si="287"/>
        <v>0</v>
      </c>
      <c r="K51" s="460">
        <f t="shared" si="287"/>
        <v>120000000</v>
      </c>
      <c r="L51" s="460">
        <f t="shared" si="287"/>
        <v>0</v>
      </c>
      <c r="M51" s="460">
        <f t="shared" si="287"/>
        <v>104955000</v>
      </c>
      <c r="N51" s="460">
        <f t="shared" si="287"/>
        <v>90696000</v>
      </c>
      <c r="O51" s="460">
        <f t="shared" si="287"/>
        <v>104955000</v>
      </c>
      <c r="P51" s="460">
        <f t="shared" si="287"/>
        <v>90696000</v>
      </c>
      <c r="Q51" s="460">
        <f t="shared" si="287"/>
        <v>104955000</v>
      </c>
      <c r="R51" s="460">
        <f t="shared" si="287"/>
        <v>90696000</v>
      </c>
      <c r="S51" s="460">
        <f t="shared" si="287"/>
        <v>109624000</v>
      </c>
      <c r="T51" s="460">
        <f t="shared" si="287"/>
        <v>90696000</v>
      </c>
      <c r="U51" s="460">
        <f t="shared" si="287"/>
        <v>109624000</v>
      </c>
      <c r="V51" s="460">
        <f t="shared" si="287"/>
        <v>109624000</v>
      </c>
      <c r="W51" s="460">
        <f t="shared" si="287"/>
        <v>120000000</v>
      </c>
      <c r="X51" s="460">
        <f t="shared" si="287"/>
        <v>120000000</v>
      </c>
      <c r="Y51" s="460">
        <f t="shared" si="287"/>
        <v>109624000</v>
      </c>
      <c r="Z51" s="460">
        <f t="shared" si="287"/>
        <v>109624000</v>
      </c>
      <c r="AA51" s="460">
        <f t="shared" si="287"/>
        <v>109624000</v>
      </c>
      <c r="AB51" s="460">
        <f t="shared" si="287"/>
        <v>380713233</v>
      </c>
      <c r="AC51" s="460">
        <f t="shared" si="287"/>
        <v>13317533</v>
      </c>
      <c r="AD51" s="460">
        <f t="shared" si="287"/>
        <v>13317533</v>
      </c>
      <c r="AE51" s="460">
        <f t="shared" si="287"/>
        <v>331346700</v>
      </c>
      <c r="AF51" s="460">
        <f t="shared" si="287"/>
        <v>331346700</v>
      </c>
      <c r="AG51" s="460">
        <f t="shared" si="287"/>
        <v>0</v>
      </c>
      <c r="AH51" s="460">
        <f t="shared" si="287"/>
        <v>0</v>
      </c>
      <c r="AI51" s="460">
        <f t="shared" si="287"/>
        <v>0</v>
      </c>
      <c r="AJ51" s="460">
        <f t="shared" si="287"/>
        <v>0</v>
      </c>
      <c r="AK51" s="460">
        <f t="shared" si="287"/>
        <v>0</v>
      </c>
      <c r="AL51" s="460">
        <f t="shared" si="287"/>
        <v>0</v>
      </c>
      <c r="AM51" s="460">
        <f t="shared" si="287"/>
        <v>0</v>
      </c>
      <c r="AN51" s="460">
        <f t="shared" si="287"/>
        <v>0</v>
      </c>
      <c r="AO51" s="460">
        <f t="shared" si="287"/>
        <v>0</v>
      </c>
      <c r="AP51" s="460">
        <f t="shared" si="287"/>
        <v>0</v>
      </c>
      <c r="AQ51" s="460">
        <f t="shared" si="287"/>
        <v>0</v>
      </c>
      <c r="AR51" s="460">
        <f t="shared" si="287"/>
        <v>0</v>
      </c>
      <c r="AS51" s="460">
        <f t="shared" si="287"/>
        <v>5632000</v>
      </c>
      <c r="AT51" s="460">
        <f t="shared" si="287"/>
        <v>10314000</v>
      </c>
      <c r="AU51" s="460">
        <f t="shared" si="287"/>
        <v>10314000</v>
      </c>
      <c r="AV51" s="460">
        <f t="shared" si="287"/>
        <v>2882000</v>
      </c>
      <c r="AW51" s="460">
        <f t="shared" si="287"/>
        <v>4054000</v>
      </c>
      <c r="AX51" s="460">
        <f t="shared" si="287"/>
        <v>0</v>
      </c>
      <c r="AY51" s="460">
        <f t="shared" si="287"/>
        <v>0</v>
      </c>
      <c r="AZ51" s="460">
        <f t="shared" si="287"/>
        <v>5517400</v>
      </c>
      <c r="BA51" s="460">
        <f t="shared" si="287"/>
        <v>364664233</v>
      </c>
      <c r="BB51" s="460">
        <f t="shared" si="287"/>
        <v>364664233</v>
      </c>
      <c r="BC51" s="460">
        <f t="shared" si="287"/>
        <v>363377633</v>
      </c>
      <c r="BD51" s="460">
        <f t="shared" si="287"/>
        <v>364664233</v>
      </c>
      <c r="BE51" s="460">
        <f t="shared" si="287"/>
        <v>363377633</v>
      </c>
      <c r="BF51" s="460">
        <f t="shared" si="287"/>
        <v>336815733</v>
      </c>
      <c r="BG51" s="460">
        <f t="shared" si="287"/>
        <v>319109900</v>
      </c>
      <c r="BH51" s="460">
        <f t="shared" si="287"/>
        <v>319109900</v>
      </c>
      <c r="BI51" s="460">
        <f t="shared" si="287"/>
        <v>11919733</v>
      </c>
      <c r="BJ51" s="460">
        <f t="shared" si="287"/>
        <v>11690533</v>
      </c>
      <c r="BK51" s="460">
        <f t="shared" si="287"/>
        <v>0</v>
      </c>
      <c r="BL51" s="460">
        <f t="shared" si="287"/>
        <v>0</v>
      </c>
      <c r="BM51" s="460">
        <f t="shared" si="287"/>
        <v>-229200</v>
      </c>
      <c r="BN51" s="460">
        <f t="shared" si="287"/>
        <v>0</v>
      </c>
      <c r="BO51" s="460">
        <f t="shared" si="287"/>
        <v>0</v>
      </c>
      <c r="BP51" s="460">
        <f t="shared" si="287"/>
        <v>0</v>
      </c>
      <c r="BQ51" s="460">
        <f t="shared" si="287"/>
        <v>0</v>
      </c>
      <c r="BR51" s="460">
        <f t="shared" si="287"/>
        <v>4898000</v>
      </c>
      <c r="BS51" s="460">
        <f t="shared" si="287"/>
        <v>-556800</v>
      </c>
      <c r="BT51" s="460">
        <f t="shared" si="287"/>
        <v>0</v>
      </c>
      <c r="BU51" s="460">
        <f t="shared" si="287"/>
        <v>0</v>
      </c>
      <c r="BV51" s="460">
        <f t="shared" si="287"/>
        <v>0</v>
      </c>
      <c r="BW51" s="460">
        <f t="shared" si="287"/>
        <v>0</v>
      </c>
      <c r="BX51" s="460">
        <f t="shared" si="287"/>
        <v>0</v>
      </c>
      <c r="BY51" s="460">
        <f t="shared" si="287"/>
        <v>0</v>
      </c>
      <c r="BZ51" s="460">
        <f t="shared" si="287"/>
        <v>0</v>
      </c>
      <c r="CA51" s="460">
        <f t="shared" si="287"/>
        <v>26935168</v>
      </c>
      <c r="CB51" s="460">
        <f t="shared" si="287"/>
        <v>17869333</v>
      </c>
      <c r="CC51" s="460">
        <f t="shared" si="287"/>
        <v>5786100</v>
      </c>
      <c r="CD51" s="460">
        <f t="shared" si="287"/>
        <v>9397133</v>
      </c>
      <c r="CE51" s="460">
        <f t="shared" si="287"/>
        <v>362964901</v>
      </c>
      <c r="CF51" s="460">
        <f t="shared" si="287"/>
        <v>362964901</v>
      </c>
      <c r="CG51" s="460">
        <f t="shared" si="287"/>
        <v>362964899</v>
      </c>
      <c r="CH51" s="460">
        <f t="shared" si="287"/>
        <v>362964901</v>
      </c>
      <c r="CI51" s="460">
        <f t="shared" si="287"/>
        <v>362964899</v>
      </c>
      <c r="CJ51" s="460">
        <f t="shared" si="287"/>
        <v>383199145</v>
      </c>
      <c r="CK51" s="460">
        <f t="shared" si="287"/>
        <v>15222533</v>
      </c>
      <c r="CL51" s="460">
        <f t="shared" si="287"/>
        <v>15222533</v>
      </c>
      <c r="CM51" s="460">
        <f t="shared" si="287"/>
        <v>291052158</v>
      </c>
      <c r="CN51" s="460">
        <f t="shared" si="287"/>
        <v>291052158</v>
      </c>
      <c r="CO51" s="460">
        <f t="shared" si="287"/>
        <v>0</v>
      </c>
      <c r="CP51" s="460">
        <f t="shared" si="287"/>
        <v>0</v>
      </c>
      <c r="CQ51" s="460">
        <f t="shared" si="287"/>
        <v>31563000</v>
      </c>
      <c r="CR51" s="460">
        <f t="shared" si="287"/>
        <v>31563000</v>
      </c>
      <c r="CS51" s="460">
        <f t="shared" si="287"/>
        <v>2397454</v>
      </c>
      <c r="CT51" s="460">
        <f t="shared" si="287"/>
        <v>0</v>
      </c>
      <c r="CU51" s="460">
        <f t="shared" si="287"/>
        <v>0</v>
      </c>
      <c r="CV51" s="460">
        <f t="shared" si="287"/>
        <v>0</v>
      </c>
      <c r="CW51" s="460">
        <f t="shared" si="287"/>
        <v>-27900200</v>
      </c>
      <c r="CX51" s="460">
        <f t="shared" si="287"/>
        <v>110289</v>
      </c>
      <c r="CY51" s="460">
        <f t="shared" si="287"/>
        <v>0</v>
      </c>
      <c r="CZ51" s="460">
        <f t="shared" si="287"/>
        <v>0</v>
      </c>
      <c r="DA51" s="460">
        <f t="shared" si="287"/>
        <v>0</v>
      </c>
      <c r="DB51" s="460">
        <f t="shared" si="287"/>
        <v>0</v>
      </c>
      <c r="DC51" s="460">
        <f t="shared" si="287"/>
        <v>3380233</v>
      </c>
      <c r="DD51" s="460">
        <f t="shared" si="287"/>
        <v>2281185</v>
      </c>
      <c r="DE51" s="460">
        <f t="shared" si="287"/>
        <v>1028767</v>
      </c>
      <c r="DF51" s="460">
        <f t="shared" si="287"/>
        <v>0</v>
      </c>
      <c r="DG51" s="460">
        <f t="shared" si="287"/>
        <v>42958020</v>
      </c>
      <c r="DH51" s="460">
        <f t="shared" si="287"/>
        <v>19472800</v>
      </c>
      <c r="DI51" s="460">
        <f t="shared" si="287"/>
        <v>359701965</v>
      </c>
      <c r="DJ51" s="460">
        <f t="shared" si="287"/>
        <v>359701965</v>
      </c>
      <c r="DK51" s="460">
        <f t="shared" si="287"/>
        <v>359701965</v>
      </c>
      <c r="DL51" s="460">
        <f t="shared" si="287"/>
        <v>359701965</v>
      </c>
      <c r="DM51" s="460">
        <f t="shared" si="287"/>
        <v>359701965</v>
      </c>
      <c r="DN51" s="460">
        <f t="shared" si="287"/>
        <v>378930000</v>
      </c>
      <c r="DO51" s="461"/>
      <c r="DP51" s="461"/>
      <c r="DQ51" s="461"/>
      <c r="DR51" s="461"/>
      <c r="DS51" s="461"/>
      <c r="DT51" s="461"/>
      <c r="DU51" s="461"/>
      <c r="DV51" s="461"/>
      <c r="DW51" s="461"/>
      <c r="DX51" s="461"/>
      <c r="DY51" s="461"/>
      <c r="DZ51" s="461"/>
      <c r="EA51" s="461"/>
      <c r="EB51" s="461"/>
      <c r="EC51" s="461"/>
      <c r="ED51" s="461"/>
      <c r="EE51" s="461"/>
      <c r="EF51" s="461"/>
      <c r="EG51" s="461"/>
      <c r="EH51" s="461"/>
      <c r="EI51" s="461"/>
      <c r="EJ51" s="461"/>
      <c r="EK51" s="461"/>
      <c r="EL51" s="461"/>
      <c r="EM51" s="462">
        <f t="shared" ref="EM51:EM53" si="288">EK51+EI51+EG51+EE51+EC51+EA51+DY51+DW51+DU51+DS51+DQ51+DO51</f>
        <v>0</v>
      </c>
      <c r="EN51" s="463">
        <f>+EN46+EN49</f>
        <v>0</v>
      </c>
      <c r="EO51" s="463">
        <f>EO46+EO49</f>
        <v>0</v>
      </c>
      <c r="EP51" s="463">
        <f>+EP46+EP49</f>
        <v>0</v>
      </c>
      <c r="EQ51" s="463"/>
      <c r="ER51" s="464">
        <f t="shared" si="23"/>
        <v>0.45329835965437887</v>
      </c>
      <c r="ES51" s="464">
        <f t="shared" si="278"/>
        <v>1</v>
      </c>
      <c r="ET51" s="465">
        <f t="shared" si="279"/>
        <v>1</v>
      </c>
      <c r="EU51" s="465">
        <f t="shared" si="280"/>
        <v>0.99892510420727154</v>
      </c>
      <c r="EV51" s="466">
        <f t="shared" si="281"/>
        <v>0.75934817623543049</v>
      </c>
      <c r="EW51" s="768"/>
      <c r="EX51" s="735"/>
      <c r="EY51" s="735"/>
      <c r="EZ51" s="735"/>
      <c r="FA51" s="735"/>
      <c r="FB51" s="770"/>
      <c r="FC51" s="92"/>
      <c r="FD51" s="92"/>
    </row>
    <row r="52" spans="1:160" ht="30" customHeight="1" x14ac:dyDescent="0.25">
      <c r="A52" s="694"/>
      <c r="B52" s="756">
        <v>7</v>
      </c>
      <c r="C52" s="732" t="s">
        <v>370</v>
      </c>
      <c r="D52" s="732" t="s">
        <v>177</v>
      </c>
      <c r="E52" s="732">
        <v>199</v>
      </c>
      <c r="F52" s="78" t="s">
        <v>345</v>
      </c>
      <c r="G52" s="426">
        <f t="shared" ref="G52:G53" si="289">AA52+BE52+CI52+DL52+DN52</f>
        <v>6.995000000000001</v>
      </c>
      <c r="H52" s="491">
        <v>0.5</v>
      </c>
      <c r="I52" s="426"/>
      <c r="J52" s="426"/>
      <c r="K52" s="426">
        <v>0.5</v>
      </c>
      <c r="L52" s="426">
        <v>0.05</v>
      </c>
      <c r="M52" s="426">
        <v>0.5</v>
      </c>
      <c r="N52" s="454">
        <v>0.1</v>
      </c>
      <c r="O52" s="426">
        <v>0.5</v>
      </c>
      <c r="P52" s="454">
        <v>0.15</v>
      </c>
      <c r="Q52" s="426">
        <v>0.5</v>
      </c>
      <c r="R52" s="441">
        <v>0.22</v>
      </c>
      <c r="S52" s="426">
        <v>0.5</v>
      </c>
      <c r="T52" s="454">
        <v>0.42</v>
      </c>
      <c r="U52" s="426">
        <v>0.5</v>
      </c>
      <c r="V52" s="426">
        <v>0.5</v>
      </c>
      <c r="W52" s="455">
        <f t="shared" ref="W52:W57" si="290">+H52</f>
        <v>0.5</v>
      </c>
      <c r="X52" s="455">
        <f t="shared" ref="X52:X57" si="291">+H52</f>
        <v>0.5</v>
      </c>
      <c r="Y52" s="455">
        <f t="shared" ref="Y52:Y57" si="292">+V52</f>
        <v>0.5</v>
      </c>
      <c r="Z52" s="455">
        <f t="shared" ref="Z52:AA52" si="293">+U52</f>
        <v>0.5</v>
      </c>
      <c r="AA52" s="454">
        <f t="shared" si="293"/>
        <v>0.5</v>
      </c>
      <c r="AB52" s="455">
        <v>0.6</v>
      </c>
      <c r="AC52" s="454">
        <v>0.06</v>
      </c>
      <c r="AD52" s="454">
        <v>0.06</v>
      </c>
      <c r="AE52" s="454">
        <v>0.03</v>
      </c>
      <c r="AF52" s="454">
        <v>0.03</v>
      </c>
      <c r="AG52" s="454">
        <v>0.06</v>
      </c>
      <c r="AH52" s="454">
        <v>0.06</v>
      </c>
      <c r="AI52" s="454">
        <v>0.05</v>
      </c>
      <c r="AJ52" s="454">
        <v>0.05</v>
      </c>
      <c r="AK52" s="454">
        <v>0.05</v>
      </c>
      <c r="AL52" s="454">
        <v>0.05</v>
      </c>
      <c r="AM52" s="454">
        <v>0.05</v>
      </c>
      <c r="AN52" s="454">
        <v>0.05</v>
      </c>
      <c r="AO52" s="454">
        <v>0.05</v>
      </c>
      <c r="AP52" s="454">
        <v>0.05</v>
      </c>
      <c r="AQ52" s="454">
        <v>0.05</v>
      </c>
      <c r="AR52" s="454">
        <v>0.05</v>
      </c>
      <c r="AS52" s="454">
        <v>0.05</v>
      </c>
      <c r="AT52" s="454">
        <v>0.05</v>
      </c>
      <c r="AU52" s="454">
        <v>0.05</v>
      </c>
      <c r="AV52" s="454">
        <v>0.05</v>
      </c>
      <c r="AW52" s="454">
        <v>0.05</v>
      </c>
      <c r="AX52" s="454">
        <v>0.05</v>
      </c>
      <c r="AY52" s="454">
        <v>0.05</v>
      </c>
      <c r="AZ52" s="454">
        <v>0.05</v>
      </c>
      <c r="BA52" s="455">
        <f>AY52+AW52+AU52+AS52+AO52+AM52+AK52+AI52+AG52+AE52+AC52+AQ52</f>
        <v>0.60000000000000009</v>
      </c>
      <c r="BB52" s="455">
        <f t="shared" ref="BB52:BB57" si="294">AC52+AE52+AG52+AI52+AK52+AM52+AO52+AQ52+AS52+AU52+AW52+AY52</f>
        <v>0.6</v>
      </c>
      <c r="BC52" s="454">
        <f t="shared" ref="BC52:BC57" si="295">+AN52+AD52+AF52+AH52+AJ52+AL52+AP52+AR52+AT52+AV52+AX52+AZ52</f>
        <v>0.6</v>
      </c>
      <c r="BD52" s="454">
        <f t="shared" ref="BD52:BD54" si="296">BA52</f>
        <v>0.60000000000000009</v>
      </c>
      <c r="BE52" s="454">
        <f t="shared" ref="BE52:BE57" si="297">AF52+AH52+AJ52+AL52+AD52+AN52+AP52+AR52+AT52+AV52+AX52+AZ52</f>
        <v>0.6</v>
      </c>
      <c r="BF52" s="455">
        <v>1.5</v>
      </c>
      <c r="BG52" s="455">
        <v>0</v>
      </c>
      <c r="BH52" s="455">
        <v>0</v>
      </c>
      <c r="BI52" s="441">
        <v>0.13600000000000001</v>
      </c>
      <c r="BJ52" s="441">
        <v>0.13600000000000001</v>
      </c>
      <c r="BK52" s="441">
        <v>0.13600000000000001</v>
      </c>
      <c r="BL52" s="441">
        <v>0.13600000000000001</v>
      </c>
      <c r="BM52" s="441">
        <v>0.13600000000000001</v>
      </c>
      <c r="BN52" s="441">
        <v>0.13600000000000001</v>
      </c>
      <c r="BO52" s="441">
        <v>0.13600000000000001</v>
      </c>
      <c r="BP52" s="441">
        <v>0.13600000000000001</v>
      </c>
      <c r="BQ52" s="441">
        <v>0.13600000000000001</v>
      </c>
      <c r="BR52" s="441">
        <v>0.13600000000000001</v>
      </c>
      <c r="BS52" s="441">
        <v>0.13600000000000001</v>
      </c>
      <c r="BT52" s="441">
        <v>0.13600000000000001</v>
      </c>
      <c r="BU52" s="441">
        <v>0.13600000000000001</v>
      </c>
      <c r="BV52" s="455">
        <v>0.13600000000000001</v>
      </c>
      <c r="BW52" s="441">
        <v>0.13600000000000001</v>
      </c>
      <c r="BX52" s="441">
        <v>0.13600000000000001</v>
      </c>
      <c r="BY52" s="441">
        <v>0.13600000000000001</v>
      </c>
      <c r="BZ52" s="441">
        <v>0.13600000000000001</v>
      </c>
      <c r="CA52" s="441">
        <f>0.136+0.07</f>
        <v>0.20600000000000002</v>
      </c>
      <c r="CB52" s="441">
        <v>0.20599999999999999</v>
      </c>
      <c r="CC52" s="441">
        <f>0.136+0.07</f>
        <v>0.20600000000000002</v>
      </c>
      <c r="CD52" s="441">
        <v>0.20599999999999999</v>
      </c>
      <c r="CE52" s="441">
        <f>CC52+CA52+BY52+BW52+BS52+BQ52+BO52+BM52+BK52+BI52+BG52+BU52</f>
        <v>1.6360000000000006</v>
      </c>
      <c r="CF52" s="441">
        <f t="shared" ref="CF52:CF57" si="298">+BG52+BI52+BK52+BM52+BO52+BQ52+BS52+BU52+BW52+BY52+CA52+CC52</f>
        <v>1.6360000000000001</v>
      </c>
      <c r="CG52" s="441">
        <f t="shared" ref="CG52:CG57" si="299">+BR52+BH52+BJ52+BL52+BN52+BP52+BT52+BV52+BX52+BZ52+CB52+CD52</f>
        <v>1.6360000000000001</v>
      </c>
      <c r="CH52" s="454">
        <f t="shared" ref="CH52:CH54" si="300">CE52</f>
        <v>1.6360000000000006</v>
      </c>
      <c r="CI52" s="454">
        <f t="shared" ref="CI52:CI57" si="301">BJ52+BL52+BN52+BP52+BH52+BR52+BT52+BV52+BX52+BZ52+CB52+CD52</f>
        <v>1.6360000000000001</v>
      </c>
      <c r="CJ52" s="454">
        <v>3.44</v>
      </c>
      <c r="CK52" s="454">
        <v>0.04</v>
      </c>
      <c r="CL52" s="454">
        <v>0.04</v>
      </c>
      <c r="CM52" s="441">
        <v>0.309</v>
      </c>
      <c r="CN52" s="441">
        <v>0.309</v>
      </c>
      <c r="CO52" s="441">
        <v>0.309</v>
      </c>
      <c r="CP52" s="441">
        <v>0.309</v>
      </c>
      <c r="CQ52" s="441">
        <v>0.309</v>
      </c>
      <c r="CR52" s="441">
        <v>0.309</v>
      </c>
      <c r="CS52" s="441">
        <v>0.309</v>
      </c>
      <c r="CT52" s="441">
        <v>0.309</v>
      </c>
      <c r="CU52" s="441">
        <v>0.309</v>
      </c>
      <c r="CV52" s="441">
        <v>0.309</v>
      </c>
      <c r="CW52" s="441">
        <v>0.309</v>
      </c>
      <c r="CX52" s="441">
        <v>0.309</v>
      </c>
      <c r="CY52" s="441">
        <v>0.309</v>
      </c>
      <c r="CZ52" s="441">
        <v>0.309</v>
      </c>
      <c r="DA52" s="441">
        <v>0.309</v>
      </c>
      <c r="DB52" s="441">
        <v>0.309</v>
      </c>
      <c r="DC52" s="441">
        <v>0.309</v>
      </c>
      <c r="DD52" s="441">
        <v>0.309</v>
      </c>
      <c r="DE52" s="441">
        <v>0.309</v>
      </c>
      <c r="DF52" s="441">
        <v>0.309</v>
      </c>
      <c r="DG52" s="441">
        <v>0.309</v>
      </c>
      <c r="DH52" s="441">
        <v>0.20599999999999999</v>
      </c>
      <c r="DI52" s="441">
        <f t="shared" ref="DI52:DI57" si="302">DG52+DE52+DC52+DA52+CY52+CW52+CU52+CS52+CQ52+CO52+CM52+CK52</f>
        <v>3.4390000000000005</v>
      </c>
      <c r="DJ52" s="454">
        <f t="shared" ref="DJ52" si="303">CK52+CM52+CO52+CQ52+CS52+CU52+CW52+CY52+DA52+DC52+DE52+DG52</f>
        <v>3.4390000000000005</v>
      </c>
      <c r="DK52" s="454">
        <f>CL52+CN52+CP52+CR52+CT52+CV52+CX52+CZ52+DB52+DD52+DF52+DH52</f>
        <v>3.3360000000000003</v>
      </c>
      <c r="DL52" s="454">
        <f t="shared" ref="DL52:DL57" si="304">DI52</f>
        <v>3.4390000000000005</v>
      </c>
      <c r="DM52" s="454">
        <f t="shared" ref="DM52:DM57" si="305">CN52+CP52+CR52+CT52+CL52+CV52+CX52+CZ52+DB52+DD52+DF52+DH52</f>
        <v>3.3360000000000003</v>
      </c>
      <c r="DN52" s="454">
        <v>0.82</v>
      </c>
      <c r="DO52" s="454"/>
      <c r="DP52" s="454"/>
      <c r="DQ52" s="454"/>
      <c r="DR52" s="454"/>
      <c r="DS52" s="454"/>
      <c r="DT52" s="454"/>
      <c r="DU52" s="454"/>
      <c r="DV52" s="454"/>
      <c r="DW52" s="454"/>
      <c r="DX52" s="454"/>
      <c r="DY52" s="454"/>
      <c r="DZ52" s="454"/>
      <c r="EA52" s="454"/>
      <c r="EB52" s="454"/>
      <c r="EC52" s="454"/>
      <c r="ED52" s="454"/>
      <c r="EE52" s="454"/>
      <c r="EF52" s="454"/>
      <c r="EG52" s="426"/>
      <c r="EH52" s="426"/>
      <c r="EI52" s="426"/>
      <c r="EJ52" s="426"/>
      <c r="EK52" s="426"/>
      <c r="EL52" s="426"/>
      <c r="EM52" s="426">
        <f t="shared" si="288"/>
        <v>0</v>
      </c>
      <c r="EN52" s="426">
        <f t="shared" ref="EN52:EO52" si="306">DO52+DQ52+DS52+DU52</f>
        <v>0</v>
      </c>
      <c r="EO52" s="426">
        <f t="shared" si="306"/>
        <v>0</v>
      </c>
      <c r="EP52" s="456">
        <f t="shared" ref="EP52:EP53" si="307">DQ52+DS52+DU52+DW52+DY52+EA52+EC52+EE52+EG52+EI52+EK52+DO52</f>
        <v>0</v>
      </c>
      <c r="EQ52" s="426"/>
      <c r="ER52" s="457">
        <f t="shared" si="23"/>
        <v>0.66666666666666663</v>
      </c>
      <c r="ES52" s="457">
        <f t="shared" si="278"/>
        <v>0.97004943297470192</v>
      </c>
      <c r="ET52" s="458">
        <f t="shared" si="279"/>
        <v>0.97004943297470192</v>
      </c>
      <c r="EU52" s="458">
        <f t="shared" si="280"/>
        <v>0.98331983805668022</v>
      </c>
      <c r="EV52" s="427">
        <f t="shared" si="281"/>
        <v>0.86804860614724799</v>
      </c>
      <c r="EW52" s="767" t="s">
        <v>1355</v>
      </c>
      <c r="EX52" s="734" t="s">
        <v>1357</v>
      </c>
      <c r="EY52" s="734" t="s">
        <v>1356</v>
      </c>
      <c r="EZ52" s="734" t="s">
        <v>371</v>
      </c>
      <c r="FA52" s="734" t="s">
        <v>184</v>
      </c>
      <c r="FB52" s="769"/>
      <c r="FC52" s="80"/>
      <c r="FD52" s="80"/>
    </row>
    <row r="53" spans="1:160" ht="30" customHeight="1" x14ac:dyDescent="0.25">
      <c r="A53" s="694"/>
      <c r="B53" s="694"/>
      <c r="C53" s="694"/>
      <c r="D53" s="694"/>
      <c r="E53" s="694"/>
      <c r="F53" s="81" t="s">
        <v>349</v>
      </c>
      <c r="G53" s="410">
        <f t="shared" si="289"/>
        <v>4195589833</v>
      </c>
      <c r="H53" s="410">
        <v>220180000</v>
      </c>
      <c r="I53" s="410"/>
      <c r="J53" s="410"/>
      <c r="K53" s="410">
        <v>220180000</v>
      </c>
      <c r="L53" s="410">
        <v>0</v>
      </c>
      <c r="M53" s="410">
        <v>220180000</v>
      </c>
      <c r="N53" s="410">
        <v>162068000</v>
      </c>
      <c r="O53" s="410">
        <v>220180000</v>
      </c>
      <c r="P53" s="410">
        <v>162068000</v>
      </c>
      <c r="Q53" s="410">
        <v>199997000</v>
      </c>
      <c r="R53" s="410">
        <v>162068000</v>
      </c>
      <c r="S53" s="410">
        <v>218352000</v>
      </c>
      <c r="T53" s="410">
        <v>162068000</v>
      </c>
      <c r="U53" s="410">
        <v>218352000</v>
      </c>
      <c r="V53" s="410">
        <v>200757000</v>
      </c>
      <c r="W53" s="410">
        <f t="shared" si="290"/>
        <v>220180000</v>
      </c>
      <c r="X53" s="410">
        <f t="shared" si="291"/>
        <v>220180000</v>
      </c>
      <c r="Y53" s="410">
        <f t="shared" si="292"/>
        <v>200757000</v>
      </c>
      <c r="Z53" s="410">
        <f t="shared" ref="Z53:AA53" si="308">+U53</f>
        <v>218352000</v>
      </c>
      <c r="AA53" s="410">
        <f t="shared" si="308"/>
        <v>200757000</v>
      </c>
      <c r="AB53" s="410">
        <v>482999000</v>
      </c>
      <c r="AC53" s="410">
        <v>0</v>
      </c>
      <c r="AD53" s="410">
        <v>0</v>
      </c>
      <c r="AE53" s="410">
        <v>340880000</v>
      </c>
      <c r="AF53" s="410">
        <v>340880000</v>
      </c>
      <c r="AG53" s="410">
        <f>435242000-AF53</f>
        <v>94362000</v>
      </c>
      <c r="AH53" s="410">
        <v>94362000</v>
      </c>
      <c r="AI53" s="410">
        <v>0</v>
      </c>
      <c r="AJ53" s="410">
        <v>0</v>
      </c>
      <c r="AK53" s="410">
        <v>0</v>
      </c>
      <c r="AL53" s="410">
        <v>0</v>
      </c>
      <c r="AM53" s="410">
        <v>0</v>
      </c>
      <c r="AN53" s="410">
        <v>0</v>
      </c>
      <c r="AO53" s="410">
        <v>0</v>
      </c>
      <c r="AP53" s="410">
        <v>0</v>
      </c>
      <c r="AQ53" s="410">
        <v>8646000</v>
      </c>
      <c r="AR53" s="410">
        <v>8646000</v>
      </c>
      <c r="AS53" s="410">
        <v>0</v>
      </c>
      <c r="AT53" s="410">
        <v>0</v>
      </c>
      <c r="AU53" s="410">
        <v>0</v>
      </c>
      <c r="AV53" s="410">
        <v>0</v>
      </c>
      <c r="AW53" s="410">
        <v>0</v>
      </c>
      <c r="AX53" s="410">
        <v>0</v>
      </c>
      <c r="AY53" s="410">
        <v>4041500</v>
      </c>
      <c r="AZ53" s="410">
        <v>4041500</v>
      </c>
      <c r="BA53" s="410">
        <f>AY53+AW53+AU53+AS53+AQ53+AO53+AM53+AK53+AI53+AG53+AE53+AC53</f>
        <v>447929500</v>
      </c>
      <c r="BB53" s="410">
        <f t="shared" si="294"/>
        <v>447929500</v>
      </c>
      <c r="BC53" s="410">
        <f t="shared" si="295"/>
        <v>447929500</v>
      </c>
      <c r="BD53" s="410">
        <f t="shared" si="296"/>
        <v>447929500</v>
      </c>
      <c r="BE53" s="410">
        <f t="shared" si="297"/>
        <v>447929500</v>
      </c>
      <c r="BF53" s="410">
        <v>436082000</v>
      </c>
      <c r="BG53" s="410">
        <v>436082000</v>
      </c>
      <c r="BH53" s="410">
        <v>436082000</v>
      </c>
      <c r="BI53" s="410">
        <v>0</v>
      </c>
      <c r="BJ53" s="410">
        <v>0</v>
      </c>
      <c r="BK53" s="410">
        <v>0</v>
      </c>
      <c r="BL53" s="410">
        <v>0</v>
      </c>
      <c r="BM53" s="410">
        <v>0</v>
      </c>
      <c r="BN53" s="410">
        <v>0</v>
      </c>
      <c r="BO53" s="410">
        <v>0</v>
      </c>
      <c r="BP53" s="410">
        <v>0</v>
      </c>
      <c r="BQ53" s="410">
        <v>0</v>
      </c>
      <c r="BR53" s="410">
        <v>0</v>
      </c>
      <c r="BS53" s="410">
        <v>556800</v>
      </c>
      <c r="BT53" s="410">
        <v>0</v>
      </c>
      <c r="BU53" s="410">
        <v>0</v>
      </c>
      <c r="BV53" s="410">
        <v>0</v>
      </c>
      <c r="BW53" s="410">
        <v>4409000</v>
      </c>
      <c r="BX53" s="410">
        <v>-8555133</v>
      </c>
      <c r="BY53" s="410">
        <v>0</v>
      </c>
      <c r="BZ53" s="410">
        <v>13520933</v>
      </c>
      <c r="CA53" s="410">
        <f>16004000+261255762</f>
        <v>277259762</v>
      </c>
      <c r="CB53" s="410">
        <v>7916000</v>
      </c>
      <c r="CC53" s="410">
        <f>10968534+6028</f>
        <v>10974562</v>
      </c>
      <c r="CD53" s="410">
        <v>19056533</v>
      </c>
      <c r="CE53" s="410">
        <f>CC53+CA53+BY53+BW53+BU53+BS53+BQ53+BO53+BM53+BK53+BI53+BG53</f>
        <v>729282124</v>
      </c>
      <c r="CF53" s="410">
        <f t="shared" si="298"/>
        <v>729282124</v>
      </c>
      <c r="CG53" s="410">
        <f t="shared" si="299"/>
        <v>468020333</v>
      </c>
      <c r="CH53" s="410">
        <f t="shared" si="300"/>
        <v>729282124</v>
      </c>
      <c r="CI53" s="410">
        <f t="shared" si="301"/>
        <v>468020333</v>
      </c>
      <c r="CJ53" s="410">
        <v>1275635000</v>
      </c>
      <c r="CK53" s="410">
        <v>0</v>
      </c>
      <c r="CL53" s="410"/>
      <c r="CM53" s="410">
        <v>355410000</v>
      </c>
      <c r="CN53" s="410">
        <v>355410000</v>
      </c>
      <c r="CO53" s="410">
        <v>39130000</v>
      </c>
      <c r="CP53" s="410">
        <v>39130000</v>
      </c>
      <c r="CQ53" s="410">
        <v>35217000</v>
      </c>
      <c r="CR53" s="410">
        <v>35217000</v>
      </c>
      <c r="CS53" s="410">
        <f>650715000+37019000</f>
        <v>687734000</v>
      </c>
      <c r="CT53" s="410">
        <v>0</v>
      </c>
      <c r="CU53" s="410"/>
      <c r="CV53" s="410"/>
      <c r="CW53" s="410">
        <f>1000000-30001501</f>
        <v>-29001501</v>
      </c>
      <c r="CX53" s="410">
        <v>544582000</v>
      </c>
      <c r="CY53" s="410"/>
      <c r="CZ53" s="410">
        <v>0</v>
      </c>
      <c r="DA53" s="410"/>
      <c r="DB53" s="410"/>
      <c r="DC53" s="410"/>
      <c r="DD53" s="410"/>
      <c r="DE53" s="410">
        <f>108885000-1000000</f>
        <v>107885000</v>
      </c>
      <c r="DF53" s="410">
        <v>35395000</v>
      </c>
      <c r="DG53" s="410">
        <f>48259000+10146501</f>
        <v>58405501</v>
      </c>
      <c r="DH53" s="410">
        <v>28404000</v>
      </c>
      <c r="DI53" s="410">
        <f t="shared" si="302"/>
        <v>1254780000</v>
      </c>
      <c r="DJ53" s="410">
        <f t="shared" ref="DJ53" si="309">CK53+CM53+CO53+CQ53+CS53+CU53+CW53+CY53+DA53+DC53+DE53+DG53</f>
        <v>1254780000</v>
      </c>
      <c r="DK53" s="410">
        <f>CL53+CN53+CP53+CR53+CT53+CV53+CX53+CZ53+DB53+DD53+DF53+DH53</f>
        <v>1038138000</v>
      </c>
      <c r="DL53" s="410">
        <f t="shared" si="304"/>
        <v>1254780000</v>
      </c>
      <c r="DM53" s="410">
        <f t="shared" si="305"/>
        <v>1038138000</v>
      </c>
      <c r="DN53" s="410">
        <v>1824103000</v>
      </c>
      <c r="DO53" s="413"/>
      <c r="DP53" s="413"/>
      <c r="DQ53" s="413"/>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02">
        <f t="shared" si="288"/>
        <v>0</v>
      </c>
      <c r="EN53" s="413">
        <f t="shared" ref="EN53:EO53" si="310">DO53+DQ53+DS53+DU53</f>
        <v>0</v>
      </c>
      <c r="EO53" s="413">
        <f t="shared" si="310"/>
        <v>0</v>
      </c>
      <c r="EP53" s="410">
        <f t="shared" si="307"/>
        <v>0</v>
      </c>
      <c r="EQ53" s="413"/>
      <c r="ER53" s="407">
        <f t="shared" si="23"/>
        <v>0.48632405361953834</v>
      </c>
      <c r="ES53" s="407">
        <f>DK53/DJ53</f>
        <v>0.82734662650026303</v>
      </c>
      <c r="ET53" s="408">
        <f t="shared" si="279"/>
        <v>0.82734662650026303</v>
      </c>
      <c r="EU53" s="408">
        <f t="shared" si="280"/>
        <v>0.81304356668582689</v>
      </c>
      <c r="EV53" s="409">
        <f t="shared" si="281"/>
        <v>0.51359759146408435</v>
      </c>
      <c r="EW53" s="735"/>
      <c r="EX53" s="735"/>
      <c r="EY53" s="735"/>
      <c r="EZ53" s="735"/>
      <c r="FA53" s="735"/>
      <c r="FB53" s="770"/>
      <c r="FC53" s="87"/>
      <c r="FD53" s="87"/>
    </row>
    <row r="54" spans="1:160" ht="30" customHeight="1" x14ac:dyDescent="0.25">
      <c r="A54" s="694"/>
      <c r="B54" s="694"/>
      <c r="C54" s="694"/>
      <c r="D54" s="694"/>
      <c r="E54" s="694"/>
      <c r="F54" s="83" t="s">
        <v>350</v>
      </c>
      <c r="G54" s="410"/>
      <c r="H54" s="410"/>
      <c r="I54" s="410"/>
      <c r="J54" s="410"/>
      <c r="K54" s="410"/>
      <c r="L54" s="410"/>
      <c r="M54" s="410"/>
      <c r="N54" s="410"/>
      <c r="O54" s="410"/>
      <c r="P54" s="410"/>
      <c r="Q54" s="410"/>
      <c r="R54" s="410"/>
      <c r="S54" s="410"/>
      <c r="T54" s="410"/>
      <c r="U54" s="410"/>
      <c r="V54" s="410"/>
      <c r="W54" s="410">
        <f t="shared" si="290"/>
        <v>0</v>
      </c>
      <c r="X54" s="410">
        <f t="shared" si="291"/>
        <v>0</v>
      </c>
      <c r="Y54" s="410">
        <f t="shared" si="292"/>
        <v>0</v>
      </c>
      <c r="Z54" s="410">
        <f t="shared" ref="Z54:AA54" si="311">+U54</f>
        <v>0</v>
      </c>
      <c r="AA54" s="410">
        <f t="shared" si="311"/>
        <v>0</v>
      </c>
      <c r="AB54" s="410"/>
      <c r="AC54" s="410"/>
      <c r="AD54" s="410"/>
      <c r="AE54" s="410"/>
      <c r="AF54" s="410"/>
      <c r="AG54" s="410">
        <v>13621034</v>
      </c>
      <c r="AH54" s="410">
        <v>13621034</v>
      </c>
      <c r="AI54" s="410">
        <v>37321200</v>
      </c>
      <c r="AJ54" s="410">
        <v>37321200</v>
      </c>
      <c r="AK54" s="410">
        <v>48655500</v>
      </c>
      <c r="AL54" s="410">
        <v>48655500</v>
      </c>
      <c r="AM54" s="410">
        <v>43371240</v>
      </c>
      <c r="AN54" s="410">
        <v>46494000</v>
      </c>
      <c r="AO54" s="410">
        <v>49287600</v>
      </c>
      <c r="AP54" s="410">
        <v>46494000</v>
      </c>
      <c r="AQ54" s="410">
        <v>43371240</v>
      </c>
      <c r="AR54" s="410">
        <v>46494000</v>
      </c>
      <c r="AS54" s="410">
        <v>43371240</v>
      </c>
      <c r="AT54" s="410">
        <v>42171000</v>
      </c>
      <c r="AU54" s="410">
        <v>43371240</v>
      </c>
      <c r="AV54" s="410">
        <v>44908900</v>
      </c>
      <c r="AW54" s="410">
        <v>43371240</v>
      </c>
      <c r="AX54" s="410">
        <v>46494000</v>
      </c>
      <c r="AY54" s="410">
        <v>43371240</v>
      </c>
      <c r="AZ54" s="410">
        <v>46325333</v>
      </c>
      <c r="BA54" s="410">
        <f>AW54+AU54+AS54+AQ54+AO54+AM54+AK54+AI54+AG54+AE54+AC54+AY54</f>
        <v>409112774</v>
      </c>
      <c r="BB54" s="410">
        <f t="shared" si="294"/>
        <v>409112774</v>
      </c>
      <c r="BC54" s="410">
        <f t="shared" si="295"/>
        <v>418978967</v>
      </c>
      <c r="BD54" s="410">
        <f t="shared" si="296"/>
        <v>409112774</v>
      </c>
      <c r="BE54" s="410">
        <f t="shared" si="297"/>
        <v>418978967</v>
      </c>
      <c r="BF54" s="410"/>
      <c r="BG54" s="410">
        <v>0</v>
      </c>
      <c r="BH54" s="410">
        <v>0</v>
      </c>
      <c r="BI54" s="410">
        <v>26231666</v>
      </c>
      <c r="BJ54" s="410">
        <v>1169000</v>
      </c>
      <c r="BK54" s="410">
        <v>44490000</v>
      </c>
      <c r="BL54" s="410">
        <f>43949134-1169000</f>
        <v>42780134</v>
      </c>
      <c r="BM54" s="410">
        <v>44490000</v>
      </c>
      <c r="BN54" s="410">
        <v>44490000</v>
      </c>
      <c r="BO54" s="410">
        <v>44490000</v>
      </c>
      <c r="BP54" s="410">
        <v>44490000</v>
      </c>
      <c r="BQ54" s="410">
        <v>44490000</v>
      </c>
      <c r="BR54" s="410">
        <v>44490000</v>
      </c>
      <c r="BS54" s="410">
        <v>44490000</v>
      </c>
      <c r="BT54" s="410">
        <v>44490000</v>
      </c>
      <c r="BU54" s="410">
        <v>44490000</v>
      </c>
      <c r="BV54" s="410">
        <v>44490000</v>
      </c>
      <c r="BW54" s="410">
        <v>44490000</v>
      </c>
      <c r="BX54" s="410">
        <v>40815833</v>
      </c>
      <c r="BY54" s="410">
        <f>41550667+4409000</f>
        <v>45959667</v>
      </c>
      <c r="BZ54" s="410">
        <v>38726567</v>
      </c>
      <c r="CA54" s="410">
        <v>40081000</v>
      </c>
      <c r="CB54" s="410">
        <v>47706833</v>
      </c>
      <c r="CC54" s="410">
        <f>16788667+26972533+562829+261255762</f>
        <v>305579791</v>
      </c>
      <c r="CD54" s="410">
        <v>44832733</v>
      </c>
      <c r="CE54" s="410">
        <f>CA54+BY54+BW54+BU54+BS54+BQ54+BO54+BM54+BK54+BI54+BG54+CC54</f>
        <v>729282124</v>
      </c>
      <c r="CF54" s="410">
        <f t="shared" si="298"/>
        <v>729282124</v>
      </c>
      <c r="CG54" s="410">
        <f t="shared" si="299"/>
        <v>438481100</v>
      </c>
      <c r="CH54" s="410">
        <f t="shared" si="300"/>
        <v>729282124</v>
      </c>
      <c r="CI54" s="410">
        <f t="shared" si="301"/>
        <v>438481100</v>
      </c>
      <c r="CJ54" s="410"/>
      <c r="CK54" s="410"/>
      <c r="CL54" s="410"/>
      <c r="CM54" s="410">
        <v>0</v>
      </c>
      <c r="CN54" s="410"/>
      <c r="CO54" s="410">
        <v>16130234</v>
      </c>
      <c r="CP54" s="410">
        <v>16130234</v>
      </c>
      <c r="CQ54" s="410">
        <v>39950000</v>
      </c>
      <c r="CR54" s="410">
        <v>35801867</v>
      </c>
      <c r="CS54" s="410">
        <v>43863000</v>
      </c>
      <c r="CT54" s="410">
        <v>41801800</v>
      </c>
      <c r="CU54" s="410">
        <f>43863000+102895679</f>
        <v>146758679</v>
      </c>
      <c r="CV54" s="410">
        <v>43367000</v>
      </c>
      <c r="CW54" s="410">
        <f>43863000+5288429</f>
        <v>49151429</v>
      </c>
      <c r="CX54" s="410">
        <v>43367000</v>
      </c>
      <c r="CY54" s="410">
        <f>43863000+102895679+59600</f>
        <v>146818279</v>
      </c>
      <c r="CZ54" s="410">
        <v>43367000</v>
      </c>
      <c r="DA54" s="410">
        <f>43863000+44331329+59600</f>
        <v>88253929</v>
      </c>
      <c r="DB54" s="410">
        <v>43367000</v>
      </c>
      <c r="DC54" s="410">
        <f>43863000+59600</f>
        <v>43922600</v>
      </c>
      <c r="DD54" s="410">
        <v>125054300</v>
      </c>
      <c r="DE54" s="410">
        <f>43863000+5288429+59600</f>
        <v>49211029</v>
      </c>
      <c r="DF54" s="410">
        <v>43367000</v>
      </c>
      <c r="DG54" s="410">
        <f>651575821-20855000</f>
        <v>630720821</v>
      </c>
      <c r="DH54" s="410">
        <v>84486833</v>
      </c>
      <c r="DI54" s="410">
        <f t="shared" si="302"/>
        <v>1254780000</v>
      </c>
      <c r="DJ54" s="410">
        <f t="shared" ref="DJ54:DK54" si="312">CK54+CM54+CO54+CQ54+CS54+CU54+CW54+CY54+DA54+DC54+DE54+DG54</f>
        <v>1254780000</v>
      </c>
      <c r="DK54" s="410">
        <f t="shared" si="312"/>
        <v>520110034</v>
      </c>
      <c r="DL54" s="410">
        <f t="shared" si="304"/>
        <v>1254780000</v>
      </c>
      <c r="DM54" s="410">
        <f t="shared" si="305"/>
        <v>520110034</v>
      </c>
      <c r="DN54" s="410"/>
      <c r="DO54" s="413"/>
      <c r="DP54" s="413"/>
      <c r="DQ54" s="413"/>
      <c r="DR54" s="413"/>
      <c r="DS54" s="413"/>
      <c r="DT54" s="413"/>
      <c r="DU54" s="413"/>
      <c r="DV54" s="413"/>
      <c r="DW54" s="413"/>
      <c r="DX54" s="413"/>
      <c r="DY54" s="413"/>
      <c r="DZ54" s="413"/>
      <c r="EA54" s="413"/>
      <c r="EB54" s="413"/>
      <c r="EC54" s="413"/>
      <c r="ED54" s="413"/>
      <c r="EE54" s="413"/>
      <c r="EF54" s="413"/>
      <c r="EG54" s="413"/>
      <c r="EH54" s="413"/>
      <c r="EI54" s="413"/>
      <c r="EJ54" s="413"/>
      <c r="EK54" s="413"/>
      <c r="EL54" s="413"/>
      <c r="EM54" s="402">
        <f t="shared" ref="EM54:EM57" si="313">EI54+EG54+EE54+EC54+EA54+DY54+DW54+DU54+DS54+DQ54+DO54+EK54</f>
        <v>0</v>
      </c>
      <c r="EN54" s="413">
        <f t="shared" ref="EN54:EO54" si="314">DO54+DQ54+DS54+DU54</f>
        <v>0</v>
      </c>
      <c r="EO54" s="413">
        <f t="shared" si="314"/>
        <v>0</v>
      </c>
      <c r="EP54" s="412">
        <f t="shared" ref="EP54:EP55" si="315">DQ54+DS54+DU54+DW54+DY54+EA54+EC54+EE54+EG54+EI54+EK54</f>
        <v>0</v>
      </c>
      <c r="EQ54" s="413"/>
      <c r="ER54" s="407">
        <f t="shared" si="23"/>
        <v>0.13395282062521288</v>
      </c>
      <c r="ES54" s="407">
        <f t="shared" si="278"/>
        <v>0.41450296785093799</v>
      </c>
      <c r="ET54" s="408">
        <f t="shared" si="279"/>
        <v>0.41450296785093799</v>
      </c>
      <c r="EU54" s="408">
        <f t="shared" si="280"/>
        <v>0.57562449871559696</v>
      </c>
      <c r="EV54" s="409">
        <f t="shared" ref="EV54:EV55" si="316">IFERROR((AA54+BE54+CI54+DM54)/G54,0)</f>
        <v>0</v>
      </c>
      <c r="EW54" s="735"/>
      <c r="EX54" s="735"/>
      <c r="EY54" s="735"/>
      <c r="EZ54" s="735"/>
      <c r="FA54" s="735"/>
      <c r="FB54" s="770"/>
      <c r="FC54" s="87"/>
      <c r="FD54" s="87"/>
    </row>
    <row r="55" spans="1:160" ht="30" customHeight="1" x14ac:dyDescent="0.25">
      <c r="A55" s="694"/>
      <c r="B55" s="694"/>
      <c r="C55" s="694"/>
      <c r="D55" s="694"/>
      <c r="E55" s="694"/>
      <c r="F55" s="84" t="s">
        <v>351</v>
      </c>
      <c r="G55" s="374"/>
      <c r="H55" s="415"/>
      <c r="I55" s="416"/>
      <c r="J55" s="416"/>
      <c r="K55" s="416"/>
      <c r="L55" s="416"/>
      <c r="M55" s="416"/>
      <c r="N55" s="416"/>
      <c r="O55" s="416"/>
      <c r="P55" s="416"/>
      <c r="Q55" s="416"/>
      <c r="R55" s="416"/>
      <c r="S55" s="416"/>
      <c r="T55" s="416"/>
      <c r="U55" s="416"/>
      <c r="V55" s="416"/>
      <c r="W55" s="406">
        <f t="shared" si="290"/>
        <v>0</v>
      </c>
      <c r="X55" s="406">
        <f t="shared" si="291"/>
        <v>0</v>
      </c>
      <c r="Y55" s="406">
        <f t="shared" si="292"/>
        <v>0</v>
      </c>
      <c r="Z55" s="406">
        <f t="shared" ref="Z55:AA55" si="317">+U55</f>
        <v>0</v>
      </c>
      <c r="AA55" s="406">
        <f t="shared" si="317"/>
        <v>0</v>
      </c>
      <c r="AB55" s="374"/>
      <c r="AC55" s="374"/>
      <c r="AD55" s="374"/>
      <c r="AE55" s="374"/>
      <c r="AF55" s="374"/>
      <c r="AG55" s="374"/>
      <c r="AH55" s="374"/>
      <c r="AI55" s="374"/>
      <c r="AJ55" s="374"/>
      <c r="AK55" s="416"/>
      <c r="AL55" s="416"/>
      <c r="AM55" s="416"/>
      <c r="AN55" s="416"/>
      <c r="AO55" s="416"/>
      <c r="AP55" s="416"/>
      <c r="AQ55" s="416"/>
      <c r="AR55" s="416"/>
      <c r="AS55" s="416"/>
      <c r="AT55" s="416"/>
      <c r="AU55" s="416"/>
      <c r="AV55" s="416"/>
      <c r="AW55" s="416"/>
      <c r="AX55" s="416"/>
      <c r="AY55" s="418"/>
      <c r="AZ55" s="416"/>
      <c r="BA55" s="402">
        <v>0</v>
      </c>
      <c r="BB55" s="406">
        <f t="shared" si="294"/>
        <v>0</v>
      </c>
      <c r="BC55" s="406">
        <f t="shared" si="295"/>
        <v>0</v>
      </c>
      <c r="BD55" s="406">
        <f>AC55+AE55+AG55+AI55+AK55+AM55+AO55+AQ55+AS55+AU55+AW55+AY55</f>
        <v>0</v>
      </c>
      <c r="BE55" s="406">
        <f t="shared" si="297"/>
        <v>0</v>
      </c>
      <c r="BF55" s="416"/>
      <c r="BG55" s="416"/>
      <c r="BH55" s="416"/>
      <c r="BI55" s="416"/>
      <c r="BJ55" s="429"/>
      <c r="BK55" s="416"/>
      <c r="BL55" s="416"/>
      <c r="BM55" s="416"/>
      <c r="BN55" s="416"/>
      <c r="BO55" s="416"/>
      <c r="BP55" s="416"/>
      <c r="BQ55" s="416"/>
      <c r="BR55" s="416"/>
      <c r="BS55" s="416"/>
      <c r="BT55" s="416"/>
      <c r="BU55" s="416"/>
      <c r="BV55" s="416"/>
      <c r="BW55" s="416"/>
      <c r="BX55" s="416"/>
      <c r="BY55" s="416"/>
      <c r="BZ55" s="416"/>
      <c r="CA55" s="416"/>
      <c r="CB55" s="416"/>
      <c r="CC55" s="416"/>
      <c r="CD55" s="418"/>
      <c r="CE55" s="402">
        <v>0</v>
      </c>
      <c r="CF55" s="406">
        <f t="shared" si="298"/>
        <v>0</v>
      </c>
      <c r="CG55" s="406">
        <f t="shared" si="299"/>
        <v>0</v>
      </c>
      <c r="CH55" s="406">
        <f>BG55+BI55+BK55+BM55+BO55+BQ55+BS55+BU55+BW55+BY55+CA55+CC55</f>
        <v>0</v>
      </c>
      <c r="CI55" s="406">
        <f t="shared" si="301"/>
        <v>0</v>
      </c>
      <c r="CJ55" s="416"/>
      <c r="CK55" s="416"/>
      <c r="CL55" s="416"/>
      <c r="CM55" s="416"/>
      <c r="CN55" s="416"/>
      <c r="CO55" s="416"/>
      <c r="CP55" s="416"/>
      <c r="CQ55" s="416"/>
      <c r="CR55" s="416"/>
      <c r="CS55" s="416"/>
      <c r="CT55" s="416"/>
      <c r="CU55" s="416"/>
      <c r="CV55" s="416"/>
      <c r="CW55" s="416"/>
      <c r="CX55" s="416"/>
      <c r="CY55" s="416"/>
      <c r="CZ55" s="416"/>
      <c r="DA55" s="416"/>
      <c r="DB55" s="416"/>
      <c r="DC55" s="416"/>
      <c r="DD55" s="416"/>
      <c r="DE55" s="416"/>
      <c r="DF55" s="416"/>
      <c r="DG55" s="416"/>
      <c r="DH55" s="416"/>
      <c r="DI55" s="423">
        <f t="shared" si="302"/>
        <v>0</v>
      </c>
      <c r="DJ55" s="402">
        <f t="shared" ref="DJ55:DK55" si="318">CK55+CM55+CO55+CQ55+CS55+CU55+CW55+CY55+DA55+DC55+DE55+DG55</f>
        <v>0</v>
      </c>
      <c r="DK55" s="402">
        <f t="shared" si="318"/>
        <v>0</v>
      </c>
      <c r="DL55" s="423">
        <f t="shared" si="304"/>
        <v>0</v>
      </c>
      <c r="DM55" s="402">
        <f t="shared" si="305"/>
        <v>0</v>
      </c>
      <c r="DN55" s="416"/>
      <c r="DO55" s="416"/>
      <c r="DP55" s="416"/>
      <c r="DQ55" s="416"/>
      <c r="DR55" s="416"/>
      <c r="DS55" s="416"/>
      <c r="DT55" s="416"/>
      <c r="DU55" s="416"/>
      <c r="DV55" s="416"/>
      <c r="DW55" s="416"/>
      <c r="DX55" s="416"/>
      <c r="DY55" s="416"/>
      <c r="DZ55" s="416"/>
      <c r="EA55" s="416"/>
      <c r="EB55" s="416"/>
      <c r="EC55" s="416"/>
      <c r="ED55" s="416"/>
      <c r="EE55" s="416"/>
      <c r="EF55" s="416"/>
      <c r="EG55" s="416"/>
      <c r="EH55" s="416"/>
      <c r="EI55" s="416"/>
      <c r="EJ55" s="416"/>
      <c r="EK55" s="416"/>
      <c r="EL55" s="416"/>
      <c r="EM55" s="405">
        <f t="shared" si="313"/>
        <v>0</v>
      </c>
      <c r="EN55" s="429">
        <f t="shared" ref="EN55:EO55" si="319">DO55+DQ55+DS55+DU55</f>
        <v>0</v>
      </c>
      <c r="EO55" s="429">
        <f t="shared" si="319"/>
        <v>0</v>
      </c>
      <c r="EP55" s="430">
        <f t="shared" si="315"/>
        <v>0</v>
      </c>
      <c r="EQ55" s="405"/>
      <c r="ER55" s="407">
        <f>IFERROR(DH55/DG55,0)</f>
        <v>0</v>
      </c>
      <c r="ES55" s="407">
        <f>IFERROR(DK55/DJ55,0)</f>
        <v>0</v>
      </c>
      <c r="ET55" s="408">
        <f>IFERROR(DM55/DL55,0)</f>
        <v>0</v>
      </c>
      <c r="EU55" s="408">
        <f>IFERROR((AA55+BE55+CI55+DK55)/(Z55+BD55+CH55+DJ55),0)</f>
        <v>0</v>
      </c>
      <c r="EV55" s="409">
        <f t="shared" si="316"/>
        <v>0</v>
      </c>
      <c r="EW55" s="735"/>
      <c r="EX55" s="735"/>
      <c r="EY55" s="735"/>
      <c r="EZ55" s="735"/>
      <c r="FA55" s="735"/>
      <c r="FB55" s="770"/>
      <c r="FC55" s="80"/>
      <c r="FD55" s="80"/>
    </row>
    <row r="56" spans="1:160" ht="30" customHeight="1" x14ac:dyDescent="0.25">
      <c r="A56" s="694"/>
      <c r="B56" s="694"/>
      <c r="C56" s="694"/>
      <c r="D56" s="694"/>
      <c r="E56" s="694"/>
      <c r="F56" s="85" t="s">
        <v>352</v>
      </c>
      <c r="G56" s="410">
        <f>AA56+BE56+CI56+DL56+DN56</f>
        <v>103407017</v>
      </c>
      <c r="H56" s="410"/>
      <c r="I56" s="410"/>
      <c r="J56" s="410"/>
      <c r="K56" s="410"/>
      <c r="L56" s="410"/>
      <c r="M56" s="410"/>
      <c r="N56" s="410"/>
      <c r="O56" s="410"/>
      <c r="P56" s="410"/>
      <c r="Q56" s="410"/>
      <c r="R56" s="410"/>
      <c r="S56" s="410"/>
      <c r="T56" s="410"/>
      <c r="U56" s="410"/>
      <c r="V56" s="410"/>
      <c r="W56" s="410">
        <f t="shared" si="290"/>
        <v>0</v>
      </c>
      <c r="X56" s="410">
        <f t="shared" si="291"/>
        <v>0</v>
      </c>
      <c r="Y56" s="410">
        <f t="shared" si="292"/>
        <v>0</v>
      </c>
      <c r="Z56" s="410">
        <f t="shared" ref="Z56:AA56" si="320">+U56</f>
        <v>0</v>
      </c>
      <c r="AA56" s="410">
        <f t="shared" si="320"/>
        <v>0</v>
      </c>
      <c r="AB56" s="410">
        <v>45106067</v>
      </c>
      <c r="AC56" s="410">
        <v>18479500</v>
      </c>
      <c r="AD56" s="410">
        <v>18479500</v>
      </c>
      <c r="AE56" s="410">
        <f>36465800-AD56</f>
        <v>17986300</v>
      </c>
      <c r="AF56" s="410">
        <v>17986300</v>
      </c>
      <c r="AG56" s="410">
        <f>45106067-AD56-AF56</f>
        <v>8640267</v>
      </c>
      <c r="AH56" s="410">
        <v>8640267</v>
      </c>
      <c r="AI56" s="410">
        <v>0</v>
      </c>
      <c r="AJ56" s="410">
        <v>0</v>
      </c>
      <c r="AK56" s="410">
        <v>0</v>
      </c>
      <c r="AL56" s="410">
        <v>0</v>
      </c>
      <c r="AM56" s="410">
        <v>0</v>
      </c>
      <c r="AN56" s="410">
        <v>0</v>
      </c>
      <c r="AO56" s="410">
        <v>0</v>
      </c>
      <c r="AP56" s="410">
        <v>0</v>
      </c>
      <c r="AQ56" s="410"/>
      <c r="AR56" s="410"/>
      <c r="AS56" s="410"/>
      <c r="AT56" s="410">
        <v>0</v>
      </c>
      <c r="AU56" s="410"/>
      <c r="AV56" s="410">
        <v>0</v>
      </c>
      <c r="AW56" s="410"/>
      <c r="AX56" s="410"/>
      <c r="AY56" s="410"/>
      <c r="AZ56" s="410"/>
      <c r="BA56" s="410">
        <f>AW56+AU56+AS56+AQ56+AO56+AM56+AK56+AI56+AG56+AE56+AC56+AY56</f>
        <v>45106067</v>
      </c>
      <c r="BB56" s="410">
        <f t="shared" si="294"/>
        <v>45106067</v>
      </c>
      <c r="BC56" s="410">
        <f t="shared" si="295"/>
        <v>45106067</v>
      </c>
      <c r="BD56" s="410">
        <f>BA56</f>
        <v>45106067</v>
      </c>
      <c r="BE56" s="410">
        <f t="shared" si="297"/>
        <v>45106067</v>
      </c>
      <c r="BF56" s="410">
        <v>28950533</v>
      </c>
      <c r="BG56" s="410">
        <v>28950533</v>
      </c>
      <c r="BH56" s="410">
        <v>28950533</v>
      </c>
      <c r="BI56" s="410">
        <v>0</v>
      </c>
      <c r="BJ56" s="410">
        <v>0</v>
      </c>
      <c r="BK56" s="410">
        <v>0</v>
      </c>
      <c r="BL56" s="410">
        <v>0</v>
      </c>
      <c r="BM56" s="410">
        <v>0</v>
      </c>
      <c r="BN56" s="410">
        <v>0</v>
      </c>
      <c r="BO56" s="410"/>
      <c r="BP56" s="410"/>
      <c r="BQ56" s="410"/>
      <c r="BR56" s="410">
        <v>0</v>
      </c>
      <c r="BS56" s="410">
        <v>0</v>
      </c>
      <c r="BT56" s="410">
        <v>0</v>
      </c>
      <c r="BU56" s="410"/>
      <c r="BV56" s="410">
        <v>0</v>
      </c>
      <c r="BW56" s="410"/>
      <c r="BX56" s="410"/>
      <c r="BY56" s="410">
        <v>0</v>
      </c>
      <c r="BZ56" s="410">
        <v>0</v>
      </c>
      <c r="CA56" s="410"/>
      <c r="CB56" s="410">
        <v>0</v>
      </c>
      <c r="CC56" s="410"/>
      <c r="CD56" s="410"/>
      <c r="CE56" s="410">
        <f>CA56+BY56+BW56+BU56+BS56+BQ56+BO56+BM56+BK56+BI56+BG56+CC56</f>
        <v>28950533</v>
      </c>
      <c r="CF56" s="410">
        <f t="shared" si="298"/>
        <v>28950533</v>
      </c>
      <c r="CG56" s="410">
        <f t="shared" si="299"/>
        <v>28950533</v>
      </c>
      <c r="CH56" s="410">
        <f>CE56</f>
        <v>28950533</v>
      </c>
      <c r="CI56" s="410">
        <f t="shared" si="301"/>
        <v>28950533</v>
      </c>
      <c r="CJ56" s="410">
        <v>29539233</v>
      </c>
      <c r="CK56" s="410">
        <v>29179467</v>
      </c>
      <c r="CL56" s="410">
        <v>29179467</v>
      </c>
      <c r="CM56" s="410">
        <v>57025</v>
      </c>
      <c r="CN56" s="410">
        <v>57025</v>
      </c>
      <c r="CO56" s="410">
        <v>57325</v>
      </c>
      <c r="CP56" s="410">
        <v>57325</v>
      </c>
      <c r="CQ56" s="410">
        <v>245416</v>
      </c>
      <c r="CR56" s="410">
        <v>56600</v>
      </c>
      <c r="CS56" s="410"/>
      <c r="CT56" s="410">
        <v>0</v>
      </c>
      <c r="CU56" s="410">
        <v>-188816</v>
      </c>
      <c r="CV56" s="410"/>
      <c r="CW56" s="410"/>
      <c r="CX56" s="410"/>
      <c r="CY56" s="410"/>
      <c r="CZ56" s="410"/>
      <c r="DA56" s="410"/>
      <c r="DB56" s="410"/>
      <c r="DC56" s="410"/>
      <c r="DD56" s="410"/>
      <c r="DE56" s="410"/>
      <c r="DF56" s="410"/>
      <c r="DG56" s="410"/>
      <c r="DH56" s="410"/>
      <c r="DI56" s="410">
        <f t="shared" si="302"/>
        <v>29350417</v>
      </c>
      <c r="DJ56" s="410">
        <f t="shared" ref="DJ56:DK56" si="321">CK56+CM56+CO56+CQ56+CS56+CU56+CW56+CY56+DA56+DC56+DE56+DG56</f>
        <v>29350417</v>
      </c>
      <c r="DK56" s="410">
        <f t="shared" si="321"/>
        <v>29350417</v>
      </c>
      <c r="DL56" s="410">
        <f t="shared" si="304"/>
        <v>29350417</v>
      </c>
      <c r="DM56" s="410">
        <f t="shared" si="305"/>
        <v>29350417</v>
      </c>
      <c r="DN56" s="411"/>
      <c r="DO56" s="411"/>
      <c r="DP56" s="411"/>
      <c r="DQ56" s="411"/>
      <c r="DR56" s="411"/>
      <c r="DS56" s="411"/>
      <c r="DT56" s="411"/>
      <c r="DU56" s="411"/>
      <c r="DV56" s="411"/>
      <c r="DW56" s="411"/>
      <c r="DX56" s="411"/>
      <c r="DY56" s="411"/>
      <c r="DZ56" s="411"/>
      <c r="EA56" s="411"/>
      <c r="EB56" s="411"/>
      <c r="EC56" s="411"/>
      <c r="ED56" s="411"/>
      <c r="EE56" s="411"/>
      <c r="EF56" s="411"/>
      <c r="EG56" s="411"/>
      <c r="EH56" s="411"/>
      <c r="EI56" s="411"/>
      <c r="EJ56" s="411"/>
      <c r="EK56" s="411"/>
      <c r="EL56" s="411"/>
      <c r="EM56" s="405">
        <f t="shared" si="313"/>
        <v>0</v>
      </c>
      <c r="EN56" s="413">
        <f t="shared" ref="EN56:EO56" si="322">DO56+DQ56+DS56+DU56</f>
        <v>0</v>
      </c>
      <c r="EO56" s="413">
        <f t="shared" si="322"/>
        <v>0</v>
      </c>
      <c r="EP56" s="412">
        <f t="shared" ref="EP56:EP57" si="323">DQ56+DS56+DU56+DW56+DY56+EA56+EC56+EE56+EG56+EI56+EK56+DO56</f>
        <v>0</v>
      </c>
      <c r="EQ56" s="413"/>
      <c r="ER56" s="407">
        <f>IFERROR(DH56/DG56,0)</f>
        <v>0</v>
      </c>
      <c r="ES56" s="407">
        <f t="shared" ref="ES56:ES61" si="324">DK56/DJ56</f>
        <v>1</v>
      </c>
      <c r="ET56" s="408">
        <f t="shared" ref="ET56:ET61" si="325">DM56/DL56</f>
        <v>1</v>
      </c>
      <c r="EU56" s="408">
        <f t="shared" ref="EU56:EU61" si="326">(AA56+BE56+CI56+DK56)/(Z56+BD56+CH56+DJ56)</f>
        <v>1</v>
      </c>
      <c r="EV56" s="409">
        <f t="shared" ref="EV56:EV60" si="327">(AA56+BE56+CI56+DM56)/G56</f>
        <v>1</v>
      </c>
      <c r="EW56" s="735"/>
      <c r="EX56" s="735"/>
      <c r="EY56" s="735"/>
      <c r="EZ56" s="735"/>
      <c r="FA56" s="735"/>
      <c r="FB56" s="770"/>
      <c r="FC56" s="80"/>
      <c r="FD56" s="80"/>
    </row>
    <row r="57" spans="1:160" ht="30" customHeight="1" thickBot="1" x14ac:dyDescent="0.3">
      <c r="A57" s="694"/>
      <c r="B57" s="694"/>
      <c r="C57" s="694"/>
      <c r="D57" s="694"/>
      <c r="E57" s="694"/>
      <c r="F57" s="84" t="s">
        <v>353</v>
      </c>
      <c r="G57" s="447">
        <f t="shared" ref="G57:G58" si="328">G52+G55</f>
        <v>6.995000000000001</v>
      </c>
      <c r="H57" s="492">
        <v>0.5</v>
      </c>
      <c r="I57" s="468"/>
      <c r="J57" s="468"/>
      <c r="K57" s="468">
        <v>0.5</v>
      </c>
      <c r="L57" s="468">
        <v>0.05</v>
      </c>
      <c r="M57" s="468">
        <v>0.5</v>
      </c>
      <c r="N57" s="469">
        <v>0.1</v>
      </c>
      <c r="O57" s="468">
        <v>0.5</v>
      </c>
      <c r="P57" s="469">
        <v>0.15</v>
      </c>
      <c r="Q57" s="468">
        <v>0.5</v>
      </c>
      <c r="R57" s="470">
        <v>0.22</v>
      </c>
      <c r="S57" s="468">
        <v>0.5</v>
      </c>
      <c r="T57" s="449">
        <v>0.42</v>
      </c>
      <c r="U57" s="447">
        <v>0.5</v>
      </c>
      <c r="V57" s="447">
        <v>0.5</v>
      </c>
      <c r="W57" s="450">
        <f t="shared" si="290"/>
        <v>0.5</v>
      </c>
      <c r="X57" s="450">
        <f t="shared" si="291"/>
        <v>0.5</v>
      </c>
      <c r="Y57" s="450">
        <f t="shared" si="292"/>
        <v>0.5</v>
      </c>
      <c r="Z57" s="450">
        <f t="shared" ref="Z57:AA57" si="329">+U57</f>
        <v>0.5</v>
      </c>
      <c r="AA57" s="450">
        <f t="shared" si="329"/>
        <v>0.5</v>
      </c>
      <c r="AB57" s="447">
        <v>0.6</v>
      </c>
      <c r="AC57" s="449">
        <v>0.06</v>
      </c>
      <c r="AD57" s="449">
        <v>0.06</v>
      </c>
      <c r="AE57" s="449">
        <v>0.03</v>
      </c>
      <c r="AF57" s="449">
        <v>0.03</v>
      </c>
      <c r="AG57" s="449">
        <v>0.06</v>
      </c>
      <c r="AH57" s="449">
        <v>0.06</v>
      </c>
      <c r="AI57" s="449">
        <v>0.05</v>
      </c>
      <c r="AJ57" s="449">
        <v>0.05</v>
      </c>
      <c r="AK57" s="449">
        <v>0.05</v>
      </c>
      <c r="AL57" s="449">
        <v>0.05</v>
      </c>
      <c r="AM57" s="449">
        <v>0.05</v>
      </c>
      <c r="AN57" s="449">
        <v>0.05</v>
      </c>
      <c r="AO57" s="449">
        <v>0.05</v>
      </c>
      <c r="AP57" s="449">
        <v>0.05</v>
      </c>
      <c r="AQ57" s="449">
        <v>0.05</v>
      </c>
      <c r="AR57" s="449">
        <v>0.05</v>
      </c>
      <c r="AS57" s="449">
        <v>0.05</v>
      </c>
      <c r="AT57" s="449">
        <v>0.05</v>
      </c>
      <c r="AU57" s="449">
        <v>0.05</v>
      </c>
      <c r="AV57" s="449">
        <v>0.05</v>
      </c>
      <c r="AW57" s="449">
        <v>0.05</v>
      </c>
      <c r="AX57" s="449">
        <v>0.05</v>
      </c>
      <c r="AY57" s="449">
        <v>0.01</v>
      </c>
      <c r="AZ57" s="449">
        <v>0.05</v>
      </c>
      <c r="BA57" s="449">
        <f>BA52+BA55</f>
        <v>0.60000000000000009</v>
      </c>
      <c r="BB57" s="450">
        <f t="shared" si="294"/>
        <v>0.55999999999999994</v>
      </c>
      <c r="BC57" s="450">
        <f t="shared" si="295"/>
        <v>0.6</v>
      </c>
      <c r="BD57" s="450">
        <f>BD52+BD55</f>
        <v>0.60000000000000009</v>
      </c>
      <c r="BE57" s="450">
        <f t="shared" si="297"/>
        <v>0.6</v>
      </c>
      <c r="BF57" s="449">
        <f t="shared" ref="BF57:CD57" si="330">+BF52</f>
        <v>1.5</v>
      </c>
      <c r="BG57" s="449">
        <f t="shared" si="330"/>
        <v>0</v>
      </c>
      <c r="BH57" s="449">
        <f t="shared" si="330"/>
        <v>0</v>
      </c>
      <c r="BI57" s="449">
        <f t="shared" si="330"/>
        <v>0.13600000000000001</v>
      </c>
      <c r="BJ57" s="449">
        <f t="shared" si="330"/>
        <v>0.13600000000000001</v>
      </c>
      <c r="BK57" s="449">
        <f t="shared" si="330"/>
        <v>0.13600000000000001</v>
      </c>
      <c r="BL57" s="449">
        <f t="shared" si="330"/>
        <v>0.13600000000000001</v>
      </c>
      <c r="BM57" s="449">
        <f t="shared" si="330"/>
        <v>0.13600000000000001</v>
      </c>
      <c r="BN57" s="485">
        <f t="shared" si="330"/>
        <v>0.13600000000000001</v>
      </c>
      <c r="BO57" s="485">
        <f t="shared" si="330"/>
        <v>0.13600000000000001</v>
      </c>
      <c r="BP57" s="485">
        <f t="shared" si="330"/>
        <v>0.13600000000000001</v>
      </c>
      <c r="BQ57" s="449">
        <f t="shared" si="330"/>
        <v>0.13600000000000001</v>
      </c>
      <c r="BR57" s="485">
        <f t="shared" si="330"/>
        <v>0.13600000000000001</v>
      </c>
      <c r="BS57" s="449">
        <f t="shared" si="330"/>
        <v>0.13600000000000001</v>
      </c>
      <c r="BT57" s="449">
        <f t="shared" si="330"/>
        <v>0.13600000000000001</v>
      </c>
      <c r="BU57" s="449">
        <f t="shared" si="330"/>
        <v>0.13600000000000001</v>
      </c>
      <c r="BV57" s="449">
        <f t="shared" si="330"/>
        <v>0.13600000000000001</v>
      </c>
      <c r="BW57" s="449">
        <f t="shared" si="330"/>
        <v>0.13600000000000001</v>
      </c>
      <c r="BX57" s="485">
        <f t="shared" si="330"/>
        <v>0.13600000000000001</v>
      </c>
      <c r="BY57" s="449">
        <f t="shared" si="330"/>
        <v>0.13600000000000001</v>
      </c>
      <c r="BZ57" s="485">
        <f t="shared" si="330"/>
        <v>0.13600000000000001</v>
      </c>
      <c r="CA57" s="449">
        <f t="shared" si="330"/>
        <v>0.20600000000000002</v>
      </c>
      <c r="CB57" s="449">
        <f t="shared" si="330"/>
        <v>0.20599999999999999</v>
      </c>
      <c r="CC57" s="449">
        <f t="shared" si="330"/>
        <v>0.20600000000000002</v>
      </c>
      <c r="CD57" s="485">
        <f t="shared" si="330"/>
        <v>0.20599999999999999</v>
      </c>
      <c r="CE57" s="485">
        <f>CE52+CE55</f>
        <v>1.6360000000000006</v>
      </c>
      <c r="CF57" s="485">
        <f t="shared" si="298"/>
        <v>1.6360000000000001</v>
      </c>
      <c r="CG57" s="485">
        <f t="shared" si="299"/>
        <v>1.6360000000000001</v>
      </c>
      <c r="CH57" s="449">
        <f>CH52+CH55</f>
        <v>1.6360000000000006</v>
      </c>
      <c r="CI57" s="449">
        <f t="shared" si="301"/>
        <v>1.6360000000000001</v>
      </c>
      <c r="CJ57" s="449">
        <v>3.44</v>
      </c>
      <c r="CK57" s="449">
        <f t="shared" ref="CK57:DH57" si="331">+CK52</f>
        <v>0.04</v>
      </c>
      <c r="CL57" s="449">
        <f t="shared" si="331"/>
        <v>0.04</v>
      </c>
      <c r="CM57" s="449">
        <f t="shared" si="331"/>
        <v>0.309</v>
      </c>
      <c r="CN57" s="449">
        <f t="shared" si="331"/>
        <v>0.309</v>
      </c>
      <c r="CO57" s="449">
        <f t="shared" si="331"/>
        <v>0.309</v>
      </c>
      <c r="CP57" s="449">
        <f t="shared" si="331"/>
        <v>0.309</v>
      </c>
      <c r="CQ57" s="449">
        <f t="shared" si="331"/>
        <v>0.309</v>
      </c>
      <c r="CR57" s="449">
        <f t="shared" si="331"/>
        <v>0.309</v>
      </c>
      <c r="CS57" s="449">
        <f t="shared" si="331"/>
        <v>0.309</v>
      </c>
      <c r="CT57" s="449">
        <f t="shared" si="331"/>
        <v>0.309</v>
      </c>
      <c r="CU57" s="485">
        <f t="shared" si="331"/>
        <v>0.309</v>
      </c>
      <c r="CV57" s="485">
        <f t="shared" si="331"/>
        <v>0.309</v>
      </c>
      <c r="CW57" s="449">
        <f t="shared" si="331"/>
        <v>0.309</v>
      </c>
      <c r="CX57" s="449">
        <f t="shared" si="331"/>
        <v>0.309</v>
      </c>
      <c r="CY57" s="493">
        <f t="shared" si="331"/>
        <v>0.309</v>
      </c>
      <c r="CZ57" s="493">
        <f t="shared" si="331"/>
        <v>0.309</v>
      </c>
      <c r="DA57" s="449">
        <f t="shared" si="331"/>
        <v>0.309</v>
      </c>
      <c r="DB57" s="449">
        <f t="shared" si="331"/>
        <v>0.309</v>
      </c>
      <c r="DC57" s="449">
        <f t="shared" si="331"/>
        <v>0.309</v>
      </c>
      <c r="DD57" s="449">
        <f t="shared" si="331"/>
        <v>0.309</v>
      </c>
      <c r="DE57" s="449">
        <f t="shared" si="331"/>
        <v>0.309</v>
      </c>
      <c r="DF57" s="449">
        <f t="shared" si="331"/>
        <v>0.309</v>
      </c>
      <c r="DG57" s="449">
        <f t="shared" si="331"/>
        <v>0.309</v>
      </c>
      <c r="DH57" s="449">
        <f t="shared" si="331"/>
        <v>0.20599999999999999</v>
      </c>
      <c r="DI57" s="494">
        <f t="shared" si="302"/>
        <v>3.4390000000000005</v>
      </c>
      <c r="DJ57" s="449">
        <f t="shared" ref="DJ57:DK57" si="332">CK57+CM57+CO57+CQ57+CS57+CU57+CW57+CY57+DA57+DC57+DE57+DG57</f>
        <v>3.4390000000000005</v>
      </c>
      <c r="DK57" s="449">
        <f t="shared" si="332"/>
        <v>3.3360000000000003</v>
      </c>
      <c r="DL57" s="494">
        <f t="shared" si="304"/>
        <v>3.4390000000000005</v>
      </c>
      <c r="DM57" s="449">
        <f t="shared" si="305"/>
        <v>3.3360000000000003</v>
      </c>
      <c r="DN57" s="477">
        <f>DN52</f>
        <v>0.82</v>
      </c>
      <c r="DO57" s="449"/>
      <c r="DP57" s="449"/>
      <c r="DQ57" s="449"/>
      <c r="DR57" s="449"/>
      <c r="DS57" s="449"/>
      <c r="DT57" s="449"/>
      <c r="DU57" s="449"/>
      <c r="DV57" s="449"/>
      <c r="DW57" s="449"/>
      <c r="DX57" s="449"/>
      <c r="DY57" s="449"/>
      <c r="DZ57" s="449"/>
      <c r="EA57" s="449"/>
      <c r="EB57" s="449"/>
      <c r="EC57" s="449"/>
      <c r="ED57" s="449"/>
      <c r="EE57" s="449"/>
      <c r="EF57" s="449"/>
      <c r="EG57" s="449"/>
      <c r="EH57" s="449"/>
      <c r="EI57" s="449"/>
      <c r="EJ57" s="449"/>
      <c r="EK57" s="449"/>
      <c r="EL57" s="449"/>
      <c r="EM57" s="449">
        <f t="shared" si="313"/>
        <v>0</v>
      </c>
      <c r="EN57" s="472">
        <f t="shared" ref="EN57:EO57" si="333">DO57+DQ57+DS57+DU57</f>
        <v>0</v>
      </c>
      <c r="EO57" s="472">
        <f t="shared" si="333"/>
        <v>0</v>
      </c>
      <c r="EP57" s="473">
        <f t="shared" si="323"/>
        <v>0</v>
      </c>
      <c r="EQ57" s="472"/>
      <c r="ER57" s="451">
        <f t="shared" si="23"/>
        <v>0.66666666666666663</v>
      </c>
      <c r="ES57" s="451">
        <f t="shared" si="324"/>
        <v>0.97004943297470192</v>
      </c>
      <c r="ET57" s="452">
        <f t="shared" si="325"/>
        <v>0.97004943297470192</v>
      </c>
      <c r="EU57" s="452">
        <f t="shared" si="326"/>
        <v>0.98331983805668022</v>
      </c>
      <c r="EV57" s="421">
        <f t="shared" si="327"/>
        <v>0.86804860614724799</v>
      </c>
      <c r="EW57" s="735"/>
      <c r="EX57" s="735"/>
      <c r="EY57" s="735"/>
      <c r="EZ57" s="735"/>
      <c r="FA57" s="735"/>
      <c r="FB57" s="770"/>
      <c r="FC57" s="80"/>
      <c r="FD57" s="80"/>
    </row>
    <row r="58" spans="1:160" ht="36.75" customHeight="1" thickBot="1" x14ac:dyDescent="0.3">
      <c r="A58" s="694"/>
      <c r="B58" s="733"/>
      <c r="C58" s="733"/>
      <c r="D58" s="733"/>
      <c r="E58" s="733"/>
      <c r="F58" s="86" t="s">
        <v>354</v>
      </c>
      <c r="G58" s="459">
        <f t="shared" si="328"/>
        <v>4298996850</v>
      </c>
      <c r="H58" s="460">
        <f t="shared" ref="H58:DN58" si="334">H53+H56</f>
        <v>220180000</v>
      </c>
      <c r="I58" s="460">
        <f t="shared" si="334"/>
        <v>0</v>
      </c>
      <c r="J58" s="460">
        <f t="shared" si="334"/>
        <v>0</v>
      </c>
      <c r="K58" s="460">
        <f t="shared" si="334"/>
        <v>220180000</v>
      </c>
      <c r="L58" s="460">
        <f t="shared" si="334"/>
        <v>0</v>
      </c>
      <c r="M58" s="460">
        <f t="shared" si="334"/>
        <v>220180000</v>
      </c>
      <c r="N58" s="460">
        <f t="shared" si="334"/>
        <v>162068000</v>
      </c>
      <c r="O58" s="460">
        <f t="shared" si="334"/>
        <v>220180000</v>
      </c>
      <c r="P58" s="460">
        <f t="shared" si="334"/>
        <v>162068000</v>
      </c>
      <c r="Q58" s="460">
        <f t="shared" si="334"/>
        <v>199997000</v>
      </c>
      <c r="R58" s="460">
        <f t="shared" si="334"/>
        <v>162068000</v>
      </c>
      <c r="S58" s="460">
        <f t="shared" si="334"/>
        <v>218352000</v>
      </c>
      <c r="T58" s="460">
        <f t="shared" si="334"/>
        <v>162068000</v>
      </c>
      <c r="U58" s="460">
        <f t="shared" si="334"/>
        <v>218352000</v>
      </c>
      <c r="V58" s="460">
        <f t="shared" si="334"/>
        <v>200757000</v>
      </c>
      <c r="W58" s="460">
        <f t="shared" si="334"/>
        <v>220180000</v>
      </c>
      <c r="X58" s="460">
        <f t="shared" si="334"/>
        <v>220180000</v>
      </c>
      <c r="Y58" s="460">
        <f t="shared" si="334"/>
        <v>200757000</v>
      </c>
      <c r="Z58" s="460">
        <f t="shared" si="334"/>
        <v>218352000</v>
      </c>
      <c r="AA58" s="460">
        <f t="shared" si="334"/>
        <v>200757000</v>
      </c>
      <c r="AB58" s="460">
        <f t="shared" si="334"/>
        <v>528105067</v>
      </c>
      <c r="AC58" s="460">
        <f t="shared" si="334"/>
        <v>18479500</v>
      </c>
      <c r="AD58" s="460">
        <f t="shared" si="334"/>
        <v>18479500</v>
      </c>
      <c r="AE58" s="460">
        <f t="shared" si="334"/>
        <v>358866300</v>
      </c>
      <c r="AF58" s="460">
        <f t="shared" si="334"/>
        <v>358866300</v>
      </c>
      <c r="AG58" s="460">
        <f t="shared" si="334"/>
        <v>103002267</v>
      </c>
      <c r="AH58" s="460">
        <f t="shared" si="334"/>
        <v>103002267</v>
      </c>
      <c r="AI58" s="460">
        <f t="shared" si="334"/>
        <v>0</v>
      </c>
      <c r="AJ58" s="460">
        <f t="shared" si="334"/>
        <v>0</v>
      </c>
      <c r="AK58" s="460">
        <f t="shared" si="334"/>
        <v>0</v>
      </c>
      <c r="AL58" s="460">
        <f t="shared" si="334"/>
        <v>0</v>
      </c>
      <c r="AM58" s="460">
        <f t="shared" si="334"/>
        <v>0</v>
      </c>
      <c r="AN58" s="460">
        <f t="shared" si="334"/>
        <v>0</v>
      </c>
      <c r="AO58" s="460">
        <f t="shared" si="334"/>
        <v>0</v>
      </c>
      <c r="AP58" s="460">
        <f t="shared" si="334"/>
        <v>0</v>
      </c>
      <c r="AQ58" s="460">
        <f t="shared" si="334"/>
        <v>8646000</v>
      </c>
      <c r="AR58" s="460">
        <f t="shared" si="334"/>
        <v>8646000</v>
      </c>
      <c r="AS58" s="460">
        <f t="shared" si="334"/>
        <v>0</v>
      </c>
      <c r="AT58" s="460">
        <f t="shared" si="334"/>
        <v>0</v>
      </c>
      <c r="AU58" s="460">
        <f t="shared" si="334"/>
        <v>0</v>
      </c>
      <c r="AV58" s="460">
        <f t="shared" si="334"/>
        <v>0</v>
      </c>
      <c r="AW58" s="460">
        <f t="shared" si="334"/>
        <v>0</v>
      </c>
      <c r="AX58" s="460">
        <f t="shared" si="334"/>
        <v>0</v>
      </c>
      <c r="AY58" s="460">
        <f t="shared" si="334"/>
        <v>4041500</v>
      </c>
      <c r="AZ58" s="460">
        <f t="shared" si="334"/>
        <v>4041500</v>
      </c>
      <c r="BA58" s="460">
        <f t="shared" si="334"/>
        <v>493035567</v>
      </c>
      <c r="BB58" s="460">
        <f t="shared" si="334"/>
        <v>493035567</v>
      </c>
      <c r="BC58" s="460">
        <f t="shared" si="334"/>
        <v>493035567</v>
      </c>
      <c r="BD58" s="460">
        <f t="shared" si="334"/>
        <v>493035567</v>
      </c>
      <c r="BE58" s="460">
        <f t="shared" si="334"/>
        <v>493035567</v>
      </c>
      <c r="BF58" s="460">
        <f t="shared" si="334"/>
        <v>465032533</v>
      </c>
      <c r="BG58" s="460">
        <f t="shared" si="334"/>
        <v>465032533</v>
      </c>
      <c r="BH58" s="460">
        <f t="shared" si="334"/>
        <v>465032533</v>
      </c>
      <c r="BI58" s="460">
        <f t="shared" si="334"/>
        <v>0</v>
      </c>
      <c r="BJ58" s="460">
        <f t="shared" si="334"/>
        <v>0</v>
      </c>
      <c r="BK58" s="460">
        <f t="shared" si="334"/>
        <v>0</v>
      </c>
      <c r="BL58" s="460">
        <f t="shared" si="334"/>
        <v>0</v>
      </c>
      <c r="BM58" s="460">
        <f t="shared" si="334"/>
        <v>0</v>
      </c>
      <c r="BN58" s="460">
        <f t="shared" si="334"/>
        <v>0</v>
      </c>
      <c r="BO58" s="460">
        <f t="shared" si="334"/>
        <v>0</v>
      </c>
      <c r="BP58" s="460">
        <f t="shared" si="334"/>
        <v>0</v>
      </c>
      <c r="BQ58" s="460">
        <f t="shared" si="334"/>
        <v>0</v>
      </c>
      <c r="BR58" s="460">
        <f t="shared" si="334"/>
        <v>0</v>
      </c>
      <c r="BS58" s="460">
        <f t="shared" si="334"/>
        <v>556800</v>
      </c>
      <c r="BT58" s="460">
        <f t="shared" si="334"/>
        <v>0</v>
      </c>
      <c r="BU58" s="460">
        <f t="shared" si="334"/>
        <v>0</v>
      </c>
      <c r="BV58" s="460">
        <f t="shared" si="334"/>
        <v>0</v>
      </c>
      <c r="BW58" s="460">
        <f t="shared" si="334"/>
        <v>4409000</v>
      </c>
      <c r="BX58" s="460">
        <f t="shared" si="334"/>
        <v>-8555133</v>
      </c>
      <c r="BY58" s="460">
        <f t="shared" si="334"/>
        <v>0</v>
      </c>
      <c r="BZ58" s="460">
        <f t="shared" si="334"/>
        <v>13520933</v>
      </c>
      <c r="CA58" s="460">
        <f t="shared" si="334"/>
        <v>277259762</v>
      </c>
      <c r="CB58" s="460">
        <f t="shared" si="334"/>
        <v>7916000</v>
      </c>
      <c r="CC58" s="460">
        <f t="shared" si="334"/>
        <v>10974562</v>
      </c>
      <c r="CD58" s="460">
        <f t="shared" si="334"/>
        <v>19056533</v>
      </c>
      <c r="CE58" s="460">
        <f t="shared" si="334"/>
        <v>758232657</v>
      </c>
      <c r="CF58" s="460">
        <f t="shared" si="334"/>
        <v>758232657</v>
      </c>
      <c r="CG58" s="460">
        <f t="shared" si="334"/>
        <v>496970866</v>
      </c>
      <c r="CH58" s="460">
        <f t="shared" si="334"/>
        <v>758232657</v>
      </c>
      <c r="CI58" s="460">
        <f t="shared" si="334"/>
        <v>496970866</v>
      </c>
      <c r="CJ58" s="460">
        <f t="shared" si="334"/>
        <v>1305174233</v>
      </c>
      <c r="CK58" s="460">
        <f t="shared" si="334"/>
        <v>29179467</v>
      </c>
      <c r="CL58" s="460">
        <f t="shared" si="334"/>
        <v>29179467</v>
      </c>
      <c r="CM58" s="460">
        <f t="shared" si="334"/>
        <v>355467025</v>
      </c>
      <c r="CN58" s="460">
        <f t="shared" si="334"/>
        <v>355467025</v>
      </c>
      <c r="CO58" s="460">
        <f t="shared" si="334"/>
        <v>39187325</v>
      </c>
      <c r="CP58" s="460">
        <f t="shared" si="334"/>
        <v>39187325</v>
      </c>
      <c r="CQ58" s="460">
        <f t="shared" si="334"/>
        <v>35462416</v>
      </c>
      <c r="CR58" s="460">
        <f t="shared" si="334"/>
        <v>35273600</v>
      </c>
      <c r="CS58" s="460">
        <f t="shared" si="334"/>
        <v>687734000</v>
      </c>
      <c r="CT58" s="460">
        <f t="shared" si="334"/>
        <v>0</v>
      </c>
      <c r="CU58" s="460">
        <f t="shared" si="334"/>
        <v>-188816</v>
      </c>
      <c r="CV58" s="460">
        <f t="shared" si="334"/>
        <v>0</v>
      </c>
      <c r="CW58" s="460">
        <f t="shared" si="334"/>
        <v>-29001501</v>
      </c>
      <c r="CX58" s="460">
        <f t="shared" si="334"/>
        <v>544582000</v>
      </c>
      <c r="CY58" s="460">
        <f t="shared" si="334"/>
        <v>0</v>
      </c>
      <c r="CZ58" s="460">
        <f t="shared" si="334"/>
        <v>0</v>
      </c>
      <c r="DA58" s="460">
        <f t="shared" si="334"/>
        <v>0</v>
      </c>
      <c r="DB58" s="460">
        <f t="shared" si="334"/>
        <v>0</v>
      </c>
      <c r="DC58" s="460">
        <f t="shared" si="334"/>
        <v>0</v>
      </c>
      <c r="DD58" s="460">
        <f t="shared" si="334"/>
        <v>0</v>
      </c>
      <c r="DE58" s="460">
        <f t="shared" si="334"/>
        <v>107885000</v>
      </c>
      <c r="DF58" s="460">
        <f t="shared" si="334"/>
        <v>35395000</v>
      </c>
      <c r="DG58" s="460">
        <f t="shared" si="334"/>
        <v>58405501</v>
      </c>
      <c r="DH58" s="460">
        <f t="shared" si="334"/>
        <v>28404000</v>
      </c>
      <c r="DI58" s="460">
        <f t="shared" si="334"/>
        <v>1284130417</v>
      </c>
      <c r="DJ58" s="460">
        <f t="shared" si="334"/>
        <v>1284130417</v>
      </c>
      <c r="DK58" s="460">
        <f t="shared" si="334"/>
        <v>1067488417</v>
      </c>
      <c r="DL58" s="460">
        <f t="shared" si="334"/>
        <v>1284130417</v>
      </c>
      <c r="DM58" s="460">
        <f t="shared" si="334"/>
        <v>1067488417</v>
      </c>
      <c r="DN58" s="460">
        <f t="shared" si="334"/>
        <v>1824103000</v>
      </c>
      <c r="DO58" s="461"/>
      <c r="DP58" s="461"/>
      <c r="DQ58" s="461"/>
      <c r="DR58" s="461"/>
      <c r="DS58" s="461"/>
      <c r="DT58" s="461"/>
      <c r="DU58" s="461"/>
      <c r="DV58" s="461"/>
      <c r="DW58" s="461"/>
      <c r="DX58" s="461"/>
      <c r="DY58" s="461"/>
      <c r="DZ58" s="461"/>
      <c r="EA58" s="461"/>
      <c r="EB58" s="461"/>
      <c r="EC58" s="461"/>
      <c r="ED58" s="461"/>
      <c r="EE58" s="461"/>
      <c r="EF58" s="461"/>
      <c r="EG58" s="461"/>
      <c r="EH58" s="461"/>
      <c r="EI58" s="461"/>
      <c r="EJ58" s="461"/>
      <c r="EK58" s="461"/>
      <c r="EL58" s="461"/>
      <c r="EM58" s="462">
        <f t="shared" ref="EM58:EM60" si="335">EK58+EI58+EG58+EE58+EC58+EA58+DY58+DW58+DU58+DS58+DQ58+DO58</f>
        <v>0</v>
      </c>
      <c r="EN58" s="463">
        <f>+EN53+EN56</f>
        <v>0</v>
      </c>
      <c r="EO58" s="463">
        <f>EO53+EO56</f>
        <v>0</v>
      </c>
      <c r="EP58" s="463">
        <f>+EP53+EP56</f>
        <v>0</v>
      </c>
      <c r="EQ58" s="463"/>
      <c r="ER58" s="464">
        <f t="shared" si="23"/>
        <v>0.48632405361953834</v>
      </c>
      <c r="ES58" s="464">
        <f t="shared" si="324"/>
        <v>0.83129283666831788</v>
      </c>
      <c r="ET58" s="465">
        <f t="shared" si="325"/>
        <v>0.83129283666831788</v>
      </c>
      <c r="EU58" s="465">
        <f t="shared" si="326"/>
        <v>0.82006403062694744</v>
      </c>
      <c r="EV58" s="466">
        <f t="shared" si="327"/>
        <v>0.52529739583316981</v>
      </c>
      <c r="EW58" s="768"/>
      <c r="EX58" s="735"/>
      <c r="EY58" s="735"/>
      <c r="EZ58" s="735"/>
      <c r="FA58" s="735"/>
      <c r="FB58" s="770"/>
      <c r="FC58" s="93"/>
      <c r="FD58" s="93"/>
    </row>
    <row r="59" spans="1:160" ht="30" customHeight="1" x14ac:dyDescent="0.25">
      <c r="A59" s="694"/>
      <c r="B59" s="747">
        <v>8</v>
      </c>
      <c r="C59" s="732" t="s">
        <v>372</v>
      </c>
      <c r="D59" s="748" t="s">
        <v>177</v>
      </c>
      <c r="E59" s="732">
        <v>199</v>
      </c>
      <c r="F59" s="78" t="s">
        <v>345</v>
      </c>
      <c r="G59" s="426">
        <f t="shared" ref="G59:G60" si="336">AA59+BE59+CI59+DL59+DN59</f>
        <v>9.0000000000000018</v>
      </c>
      <c r="H59" s="474">
        <v>0.5</v>
      </c>
      <c r="I59" s="431"/>
      <c r="J59" s="431"/>
      <c r="K59" s="436">
        <v>0.5</v>
      </c>
      <c r="L59" s="480">
        <v>0</v>
      </c>
      <c r="M59" s="436">
        <v>0.5</v>
      </c>
      <c r="N59" s="436">
        <v>0</v>
      </c>
      <c r="O59" s="436">
        <v>0.5</v>
      </c>
      <c r="P59" s="436">
        <v>0</v>
      </c>
      <c r="Q59" s="436">
        <v>0.5</v>
      </c>
      <c r="R59" s="436">
        <v>0.17</v>
      </c>
      <c r="S59" s="436">
        <v>0.5</v>
      </c>
      <c r="T59" s="480">
        <v>0.34</v>
      </c>
      <c r="U59" s="436">
        <v>0.5</v>
      </c>
      <c r="V59" s="436">
        <v>0.5</v>
      </c>
      <c r="W59" s="455">
        <f t="shared" ref="W59:W64" si="337">+H59</f>
        <v>0.5</v>
      </c>
      <c r="X59" s="455">
        <f t="shared" ref="X59:X64" si="338">+H59</f>
        <v>0.5</v>
      </c>
      <c r="Y59" s="455">
        <f t="shared" ref="Y59:Y64" si="339">+V59</f>
        <v>0.5</v>
      </c>
      <c r="Z59" s="455">
        <f t="shared" ref="Z59:AA59" si="340">+U59</f>
        <v>0.5</v>
      </c>
      <c r="AA59" s="455">
        <f t="shared" si="340"/>
        <v>0.5</v>
      </c>
      <c r="AB59" s="436">
        <v>1.4</v>
      </c>
      <c r="AC59" s="437">
        <v>7.0000000000000007E-2</v>
      </c>
      <c r="AD59" s="437">
        <v>7.0000000000000007E-2</v>
      </c>
      <c r="AE59" s="437">
        <v>0.126</v>
      </c>
      <c r="AF59" s="437">
        <v>0.126</v>
      </c>
      <c r="AG59" s="437">
        <v>0.126</v>
      </c>
      <c r="AH59" s="437">
        <v>0.126</v>
      </c>
      <c r="AI59" s="437">
        <v>0.126</v>
      </c>
      <c r="AJ59" s="437">
        <v>0.126</v>
      </c>
      <c r="AK59" s="437">
        <v>0.126</v>
      </c>
      <c r="AL59" s="437">
        <v>0.126</v>
      </c>
      <c r="AM59" s="437">
        <v>0.126</v>
      </c>
      <c r="AN59" s="437">
        <v>0.126</v>
      </c>
      <c r="AO59" s="437">
        <v>0.126</v>
      </c>
      <c r="AP59" s="437">
        <v>0.126</v>
      </c>
      <c r="AQ59" s="437">
        <v>0.126</v>
      </c>
      <c r="AR59" s="437">
        <v>0.126</v>
      </c>
      <c r="AS59" s="437">
        <v>0.126</v>
      </c>
      <c r="AT59" s="437">
        <v>0.126</v>
      </c>
      <c r="AU59" s="437">
        <v>0.126</v>
      </c>
      <c r="AV59" s="437">
        <v>0.126</v>
      </c>
      <c r="AW59" s="437">
        <v>0.126</v>
      </c>
      <c r="AX59" s="437">
        <v>0.126</v>
      </c>
      <c r="AY59" s="437">
        <v>7.0000000000000007E-2</v>
      </c>
      <c r="AZ59" s="436">
        <v>7.0000000000000007E-2</v>
      </c>
      <c r="BA59" s="454">
        <f>AY59+AW59+AU59+AS59+AO59+AM59+AK59+AI59+AG59+AE59+AC59+AQ59</f>
        <v>1.4000000000000004</v>
      </c>
      <c r="BB59" s="455">
        <f t="shared" ref="BB59:BB64" si="341">AC59+AE59+AG59+AI59+AK59+AM59+AO59+AQ59+AS59+AU59+AW59+AY59</f>
        <v>1.4000000000000001</v>
      </c>
      <c r="BC59" s="441">
        <f t="shared" ref="BC59:BC64" si="342">+AN59+AD59+AF59+AH59+AJ59+AL59+AP59+AR59+AT59+AV59+AX59+AZ59</f>
        <v>1.4000000000000001</v>
      </c>
      <c r="BD59" s="455">
        <f t="shared" ref="BD59:BD61" si="343">BA59</f>
        <v>1.4000000000000004</v>
      </c>
      <c r="BE59" s="455">
        <f t="shared" ref="BE59:BE64" si="344">AF59+AH59+AJ59+AL59+AD59+AN59+AP59+AR59+AT59+AV59+AX59+AZ59</f>
        <v>1.4000000000000001</v>
      </c>
      <c r="BF59" s="489">
        <v>2.5</v>
      </c>
      <c r="BG59" s="436">
        <v>0.06</v>
      </c>
      <c r="BH59" s="436">
        <v>0.06</v>
      </c>
      <c r="BI59" s="489">
        <v>0.2</v>
      </c>
      <c r="BJ59" s="489">
        <v>0.2</v>
      </c>
      <c r="BK59" s="436">
        <v>0.23</v>
      </c>
      <c r="BL59" s="436">
        <v>0.23</v>
      </c>
      <c r="BM59" s="436">
        <v>0.23</v>
      </c>
      <c r="BN59" s="436">
        <v>0.23</v>
      </c>
      <c r="BO59" s="436">
        <v>0.23</v>
      </c>
      <c r="BP59" s="436">
        <v>0.23</v>
      </c>
      <c r="BQ59" s="436">
        <v>0.23</v>
      </c>
      <c r="BR59" s="436">
        <v>0.23</v>
      </c>
      <c r="BS59" s="436">
        <v>0.23</v>
      </c>
      <c r="BT59" s="436">
        <v>0.23</v>
      </c>
      <c r="BU59" s="436">
        <v>0.25</v>
      </c>
      <c r="BV59" s="436">
        <v>0.25</v>
      </c>
      <c r="BW59" s="436">
        <v>0.25</v>
      </c>
      <c r="BX59" s="436">
        <v>0.25</v>
      </c>
      <c r="BY59" s="436">
        <v>0.25</v>
      </c>
      <c r="BZ59" s="436">
        <v>0.25</v>
      </c>
      <c r="CA59" s="436">
        <v>0.21</v>
      </c>
      <c r="CB59" s="436">
        <v>0.21</v>
      </c>
      <c r="CC59" s="436">
        <v>0.13</v>
      </c>
      <c r="CD59" s="436">
        <v>0.13</v>
      </c>
      <c r="CE59" s="454">
        <f>CC59+CA59+BY59+BW59+BS59+BQ59+BO59+BM59+BK59+BI59+BG59+BU59</f>
        <v>2.5</v>
      </c>
      <c r="CF59" s="455">
        <f t="shared" ref="CF59:CF64" si="345">+BG59+BI59+BK59+BM59+BO59+BQ59+BS59+BU59+BW59+BY59+CA59+CC59</f>
        <v>2.5</v>
      </c>
      <c r="CG59" s="441">
        <f t="shared" ref="CG59:CG64" si="346">+BR59+BH59+BJ59+BL59+BN59+BP59+BT59+BV59+BX59+BZ59+CB59+CD59</f>
        <v>2.5</v>
      </c>
      <c r="CH59" s="455">
        <f t="shared" ref="CH59:CH61" si="347">CE59</f>
        <v>2.5</v>
      </c>
      <c r="CI59" s="454">
        <f t="shared" ref="CI59:CI64" si="348">BJ59+BL59+BN59+BP59+BH59+BR59+BT59+BV59+BX59+BZ59+CB59+CD59</f>
        <v>2.5</v>
      </c>
      <c r="CJ59" s="436">
        <v>3.3</v>
      </c>
      <c r="CK59" s="437">
        <v>0.16500000000000001</v>
      </c>
      <c r="CL59" s="437">
        <v>0.16500000000000001</v>
      </c>
      <c r="CM59" s="437">
        <v>0.29699999999999999</v>
      </c>
      <c r="CN59" s="437">
        <v>0.29699999999999999</v>
      </c>
      <c r="CO59" s="437">
        <v>0.29699999999999999</v>
      </c>
      <c r="CP59" s="437">
        <v>0.29699999999999999</v>
      </c>
      <c r="CQ59" s="437">
        <v>0.29699999999999999</v>
      </c>
      <c r="CR59" s="437">
        <v>0.29699999999999999</v>
      </c>
      <c r="CS59" s="437">
        <v>0.29699999999999999</v>
      </c>
      <c r="CT59" s="437">
        <v>0.29699999999999999</v>
      </c>
      <c r="CU59" s="437">
        <v>0.29699999999999999</v>
      </c>
      <c r="CV59" s="437">
        <v>0.29699999999999999</v>
      </c>
      <c r="CW59" s="437">
        <v>0.29699999999999999</v>
      </c>
      <c r="CX59" s="437">
        <v>0.29699999999999999</v>
      </c>
      <c r="CY59" s="437">
        <v>0.29699999999999999</v>
      </c>
      <c r="CZ59" s="437">
        <v>0.29699999999999999</v>
      </c>
      <c r="DA59" s="437">
        <v>0.29699999999999999</v>
      </c>
      <c r="DB59" s="437">
        <v>0.29699999999999999</v>
      </c>
      <c r="DC59" s="437">
        <v>0.29699999999999999</v>
      </c>
      <c r="DD59" s="437">
        <v>0.29699999999999999</v>
      </c>
      <c r="DE59" s="437">
        <v>0.29699999999999999</v>
      </c>
      <c r="DF59" s="437">
        <v>0.29699999999999999</v>
      </c>
      <c r="DG59" s="437">
        <v>0.16500000000000001</v>
      </c>
      <c r="DH59" s="437">
        <v>0.16500000000000001</v>
      </c>
      <c r="DI59" s="480">
        <f t="shared" ref="DI59:DI60" si="349">DG59+DE59+DC59+DA59+CY59+CW59+CU59+CS59+CQ59+CO59+CM59+CK59</f>
        <v>3.3000000000000003</v>
      </c>
      <c r="DJ59" s="454">
        <f t="shared" ref="DJ59" si="350">CK59+CM59+CO59+CQ59+CS59+CU59+CW59+CY59+DA59+DC59+DE59+DG59</f>
        <v>3.3000000000000003</v>
      </c>
      <c r="DK59" s="454">
        <f>CL59+CN59+CP59+CR59+CT59+CV59+CX59+CZ59+DB59+DD59+DF59+DH59</f>
        <v>3.3000000000000003</v>
      </c>
      <c r="DL59" s="454">
        <f>DI59</f>
        <v>3.3000000000000003</v>
      </c>
      <c r="DM59" s="454">
        <f>CN59+CP59+CR59+CT59+CL59+CV59+CX59+CZ59+DB59+DD59+DF59+DH59</f>
        <v>3.3000000000000003</v>
      </c>
      <c r="DN59" s="436">
        <v>1.3</v>
      </c>
      <c r="DO59" s="431"/>
      <c r="DP59" s="431"/>
      <c r="DQ59" s="431"/>
      <c r="DR59" s="431"/>
      <c r="DS59" s="431"/>
      <c r="DT59" s="431"/>
      <c r="DU59" s="431"/>
      <c r="DV59" s="431"/>
      <c r="DW59" s="431"/>
      <c r="DX59" s="431"/>
      <c r="DY59" s="431"/>
      <c r="DZ59" s="431"/>
      <c r="EA59" s="431"/>
      <c r="EB59" s="431"/>
      <c r="EC59" s="431"/>
      <c r="ED59" s="431"/>
      <c r="EE59" s="431"/>
      <c r="EF59" s="431"/>
      <c r="EG59" s="431"/>
      <c r="EH59" s="431"/>
      <c r="EI59" s="431"/>
      <c r="EJ59" s="431"/>
      <c r="EK59" s="431"/>
      <c r="EL59" s="431"/>
      <c r="EM59" s="426">
        <f t="shared" si="335"/>
        <v>0</v>
      </c>
      <c r="EN59" s="426">
        <f t="shared" ref="EN59:EO59" si="351">DO59+DQ59+DS59+DU59</f>
        <v>0</v>
      </c>
      <c r="EO59" s="454">
        <f t="shared" si="351"/>
        <v>0</v>
      </c>
      <c r="EP59" s="456">
        <f t="shared" ref="EP59:EP60" si="352">DQ59+DS59+DU59+DW59+DY59+EA59+EC59+EE59+EG59+EI59+EK59+DO59</f>
        <v>0</v>
      </c>
      <c r="EQ59" s="454"/>
      <c r="ER59" s="457">
        <f t="shared" si="23"/>
        <v>1</v>
      </c>
      <c r="ES59" s="457">
        <f t="shared" si="324"/>
        <v>1</v>
      </c>
      <c r="ET59" s="458">
        <f t="shared" si="325"/>
        <v>1</v>
      </c>
      <c r="EU59" s="458">
        <f t="shared" si="326"/>
        <v>1</v>
      </c>
      <c r="EV59" s="427">
        <f t="shared" si="327"/>
        <v>0.85555555555555551</v>
      </c>
      <c r="EW59" s="767" t="s">
        <v>1358</v>
      </c>
      <c r="EX59" s="734" t="s">
        <v>178</v>
      </c>
      <c r="EY59" s="734" t="s">
        <v>178</v>
      </c>
      <c r="EZ59" s="734" t="s">
        <v>373</v>
      </c>
      <c r="FA59" s="734" t="s">
        <v>374</v>
      </c>
      <c r="FB59" s="769"/>
      <c r="FC59" s="80"/>
      <c r="FD59" s="80"/>
    </row>
    <row r="60" spans="1:160" ht="30" customHeight="1" x14ac:dyDescent="0.25">
      <c r="A60" s="694"/>
      <c r="B60" s="694"/>
      <c r="C60" s="694"/>
      <c r="D60" s="694"/>
      <c r="E60" s="694"/>
      <c r="F60" s="81" t="s">
        <v>349</v>
      </c>
      <c r="G60" s="410">
        <f t="shared" si="336"/>
        <v>1506416601</v>
      </c>
      <c r="H60" s="414">
        <v>159600000</v>
      </c>
      <c r="I60" s="411"/>
      <c r="J60" s="411"/>
      <c r="K60" s="411">
        <v>159600000</v>
      </c>
      <c r="L60" s="411">
        <v>0</v>
      </c>
      <c r="M60" s="411">
        <v>152972000</v>
      </c>
      <c r="N60" s="411">
        <v>101484000</v>
      </c>
      <c r="O60" s="411">
        <v>152972000</v>
      </c>
      <c r="P60" s="411">
        <v>116067000</v>
      </c>
      <c r="Q60" s="411">
        <v>136314000</v>
      </c>
      <c r="R60" s="411">
        <v>116067000</v>
      </c>
      <c r="S60" s="411">
        <v>156172000</v>
      </c>
      <c r="T60" s="420">
        <v>116067000</v>
      </c>
      <c r="U60" s="432">
        <v>156172000</v>
      </c>
      <c r="V60" s="432">
        <v>151311000</v>
      </c>
      <c r="W60" s="406">
        <f t="shared" si="337"/>
        <v>159600000</v>
      </c>
      <c r="X60" s="406">
        <f t="shared" si="338"/>
        <v>159600000</v>
      </c>
      <c r="Y60" s="406">
        <f t="shared" si="339"/>
        <v>151311000</v>
      </c>
      <c r="Z60" s="410">
        <f t="shared" ref="Z60:AA60" si="353">+U60</f>
        <v>156172000</v>
      </c>
      <c r="AA60" s="410">
        <f t="shared" si="353"/>
        <v>151311000</v>
      </c>
      <c r="AB60" s="410">
        <v>250350000</v>
      </c>
      <c r="AC60" s="410">
        <v>0</v>
      </c>
      <c r="AD60" s="410">
        <v>0</v>
      </c>
      <c r="AE60" s="410">
        <v>99990000</v>
      </c>
      <c r="AF60" s="410">
        <v>99990000</v>
      </c>
      <c r="AG60" s="410">
        <f>207261000-AF60</f>
        <v>107271000</v>
      </c>
      <c r="AH60" s="410">
        <v>107271000</v>
      </c>
      <c r="AI60" s="410">
        <f>222016000-AF60-AH60</f>
        <v>14755000</v>
      </c>
      <c r="AJ60" s="410">
        <v>14755000</v>
      </c>
      <c r="AK60" s="410">
        <v>0</v>
      </c>
      <c r="AL60" s="410">
        <v>0</v>
      </c>
      <c r="AM60" s="410">
        <v>43620000</v>
      </c>
      <c r="AN60" s="410">
        <v>0</v>
      </c>
      <c r="AO60" s="410">
        <v>0</v>
      </c>
      <c r="AP60" s="410">
        <v>0</v>
      </c>
      <c r="AQ60" s="410">
        <f>11504067+568933</f>
        <v>12073000</v>
      </c>
      <c r="AR60" s="410">
        <v>34896000</v>
      </c>
      <c r="AS60" s="410">
        <v>0</v>
      </c>
      <c r="AT60" s="410">
        <v>10815500</v>
      </c>
      <c r="AU60" s="410">
        <v>0</v>
      </c>
      <c r="AV60" s="410">
        <v>0</v>
      </c>
      <c r="AW60" s="410">
        <v>0</v>
      </c>
      <c r="AX60" s="410">
        <v>8724000</v>
      </c>
      <c r="AY60" s="410">
        <v>0</v>
      </c>
      <c r="AZ60" s="410">
        <v>0</v>
      </c>
      <c r="BA60" s="410">
        <f>AY60+AW60+AU60+AS60+AQ60+AO60+AM60+AK60+AI60+AG60+AE60+AC60</f>
        <v>277709000</v>
      </c>
      <c r="BB60" s="410">
        <f t="shared" si="341"/>
        <v>277709000</v>
      </c>
      <c r="BC60" s="410">
        <f t="shared" si="342"/>
        <v>276451500</v>
      </c>
      <c r="BD60" s="410">
        <f t="shared" si="343"/>
        <v>277709000</v>
      </c>
      <c r="BE60" s="410">
        <f t="shared" si="344"/>
        <v>276451500</v>
      </c>
      <c r="BF60" s="410">
        <v>289724000</v>
      </c>
      <c r="BG60" s="410">
        <v>289663634</v>
      </c>
      <c r="BH60" s="410">
        <v>289663634</v>
      </c>
      <c r="BI60" s="410">
        <v>0</v>
      </c>
      <c r="BJ60" s="410">
        <v>0</v>
      </c>
      <c r="BK60" s="410">
        <v>0</v>
      </c>
      <c r="BL60" s="410">
        <v>0</v>
      </c>
      <c r="BM60" s="410">
        <v>0</v>
      </c>
      <c r="BN60" s="410">
        <v>0</v>
      </c>
      <c r="BO60" s="410">
        <v>0</v>
      </c>
      <c r="BP60" s="410"/>
      <c r="BQ60" s="410">
        <v>0</v>
      </c>
      <c r="BR60" s="410">
        <v>0</v>
      </c>
      <c r="BS60" s="410">
        <v>0</v>
      </c>
      <c r="BT60" s="410">
        <v>0</v>
      </c>
      <c r="BU60" s="410">
        <v>0</v>
      </c>
      <c r="BV60" s="410">
        <v>0</v>
      </c>
      <c r="BW60" s="410">
        <v>0</v>
      </c>
      <c r="BX60" s="410">
        <v>0</v>
      </c>
      <c r="BY60" s="410">
        <v>0</v>
      </c>
      <c r="BZ60" s="410">
        <v>7826000</v>
      </c>
      <c r="CA60" s="410">
        <v>32500768</v>
      </c>
      <c r="CB60" s="410">
        <v>6517000</v>
      </c>
      <c r="CC60" s="410">
        <v>60366</v>
      </c>
      <c r="CD60" s="410">
        <v>18209066</v>
      </c>
      <c r="CE60" s="410">
        <f>CC60+CA60+BY60+BW60+BU60+BS60+BQ60+BO60+BM60+BK60+BI60+BG60</f>
        <v>322224768</v>
      </c>
      <c r="CF60" s="410">
        <f t="shared" si="345"/>
        <v>322224768</v>
      </c>
      <c r="CG60" s="410">
        <f t="shared" si="346"/>
        <v>322215700</v>
      </c>
      <c r="CH60" s="410">
        <f t="shared" si="347"/>
        <v>322224768</v>
      </c>
      <c r="CI60" s="410">
        <f t="shared" si="348"/>
        <v>322215700</v>
      </c>
      <c r="CJ60" s="410">
        <v>370000000</v>
      </c>
      <c r="CK60" s="410">
        <v>0</v>
      </c>
      <c r="CL60" s="410">
        <v>0</v>
      </c>
      <c r="CM60" s="410">
        <v>301225000</v>
      </c>
      <c r="CN60" s="410">
        <v>301225000</v>
      </c>
      <c r="CO60" s="410">
        <v>35217000</v>
      </c>
      <c r="CP60" s="410">
        <v>35217000</v>
      </c>
      <c r="CQ60" s="410">
        <v>0</v>
      </c>
      <c r="CR60" s="410">
        <v>0</v>
      </c>
      <c r="CS60" s="410"/>
      <c r="CT60" s="410">
        <v>0</v>
      </c>
      <c r="CU60" s="410"/>
      <c r="CV60" s="410"/>
      <c r="CW60" s="410"/>
      <c r="CX60" s="410"/>
      <c r="CY60" s="410"/>
      <c r="CZ60" s="410">
        <v>0</v>
      </c>
      <c r="DA60" s="410"/>
      <c r="DB60" s="410"/>
      <c r="DC60" s="410"/>
      <c r="DD60" s="410"/>
      <c r="DE60" s="410">
        <v>19996401</v>
      </c>
      <c r="DF60" s="410"/>
      <c r="DG60" s="410">
        <v>0</v>
      </c>
      <c r="DH60" s="410">
        <v>19996401</v>
      </c>
      <c r="DI60" s="410">
        <f t="shared" si="349"/>
        <v>356438401</v>
      </c>
      <c r="DJ60" s="410">
        <f t="shared" ref="DJ60" si="354">CK60+CM60+CO60+CQ60+CS60+CU60+CW60+CY60+DA60+DC60+DE60</f>
        <v>356438401</v>
      </c>
      <c r="DK60" s="405">
        <f t="shared" ref="DK60:DK64" si="355">CL60+CN60+CP60+CR60+CT60+CV60+CX60+CZ60+DB60+DD60+DF60+DH60</f>
        <v>356438401</v>
      </c>
      <c r="DL60" s="410">
        <f t="shared" ref="DL60:DL64" si="356">DI60</f>
        <v>356438401</v>
      </c>
      <c r="DM60" s="410">
        <f t="shared" ref="DM60:DM64" si="357">CN60+CP60+CR60+CT60+CL60+CV60+CX60+CZ60+DB60+DD60+DF60+DH60</f>
        <v>356438401</v>
      </c>
      <c r="DN60" s="410">
        <v>400000000</v>
      </c>
      <c r="DO60" s="411"/>
      <c r="DP60" s="411"/>
      <c r="DQ60" s="411"/>
      <c r="DR60" s="411"/>
      <c r="DS60" s="411"/>
      <c r="DT60" s="411"/>
      <c r="DU60" s="411"/>
      <c r="DV60" s="411"/>
      <c r="DW60" s="411"/>
      <c r="DX60" s="411"/>
      <c r="DY60" s="411"/>
      <c r="DZ60" s="411"/>
      <c r="EA60" s="411"/>
      <c r="EB60" s="411"/>
      <c r="EC60" s="411"/>
      <c r="ED60" s="411"/>
      <c r="EE60" s="411"/>
      <c r="EF60" s="411"/>
      <c r="EG60" s="411"/>
      <c r="EH60" s="411"/>
      <c r="EI60" s="411"/>
      <c r="EJ60" s="411"/>
      <c r="EK60" s="411"/>
      <c r="EL60" s="411"/>
      <c r="EM60" s="402">
        <f t="shared" si="335"/>
        <v>0</v>
      </c>
      <c r="EN60" s="413">
        <f t="shared" ref="EN60:EO60" si="358">DO60+DQ60+DS60+DU60</f>
        <v>0</v>
      </c>
      <c r="EO60" s="413">
        <f t="shared" si="358"/>
        <v>0</v>
      </c>
      <c r="EP60" s="410">
        <f t="shared" si="352"/>
        <v>0</v>
      </c>
      <c r="EQ60" s="413"/>
      <c r="ER60" s="407">
        <f>IFERROR(DH60/DG60,0)</f>
        <v>0</v>
      </c>
      <c r="ES60" s="407">
        <f t="shared" si="324"/>
        <v>1</v>
      </c>
      <c r="ET60" s="408">
        <f t="shared" si="325"/>
        <v>1</v>
      </c>
      <c r="EU60" s="408">
        <f t="shared" si="326"/>
        <v>0.99449229237747239</v>
      </c>
      <c r="EV60" s="409">
        <f t="shared" si="327"/>
        <v>0.73446920344978328</v>
      </c>
      <c r="EW60" s="735"/>
      <c r="EX60" s="735"/>
      <c r="EY60" s="735"/>
      <c r="EZ60" s="735"/>
      <c r="FA60" s="735"/>
      <c r="FB60" s="770"/>
      <c r="FC60" s="82"/>
      <c r="FD60" s="82"/>
    </row>
    <row r="61" spans="1:160" ht="30" customHeight="1" x14ac:dyDescent="0.25">
      <c r="A61" s="694"/>
      <c r="B61" s="694"/>
      <c r="C61" s="694"/>
      <c r="D61" s="694"/>
      <c r="E61" s="694"/>
      <c r="F61" s="83" t="s">
        <v>350</v>
      </c>
      <c r="G61" s="410"/>
      <c r="H61" s="414"/>
      <c r="I61" s="411"/>
      <c r="J61" s="411"/>
      <c r="K61" s="411"/>
      <c r="L61" s="411"/>
      <c r="M61" s="411"/>
      <c r="N61" s="411"/>
      <c r="O61" s="411"/>
      <c r="P61" s="411"/>
      <c r="Q61" s="411"/>
      <c r="R61" s="411"/>
      <c r="S61" s="411"/>
      <c r="T61" s="420"/>
      <c r="U61" s="432"/>
      <c r="V61" s="432"/>
      <c r="W61" s="406">
        <f t="shared" si="337"/>
        <v>0</v>
      </c>
      <c r="X61" s="406">
        <f t="shared" si="338"/>
        <v>0</v>
      </c>
      <c r="Y61" s="406">
        <f t="shared" si="339"/>
        <v>0</v>
      </c>
      <c r="Z61" s="410">
        <f t="shared" ref="Z61:AA61" si="359">+U61</f>
        <v>0</v>
      </c>
      <c r="AA61" s="410">
        <f t="shared" si="359"/>
        <v>0</v>
      </c>
      <c r="AB61" s="410"/>
      <c r="AC61" s="410"/>
      <c r="AD61" s="410"/>
      <c r="AE61" s="410"/>
      <c r="AF61" s="410"/>
      <c r="AG61" s="410">
        <v>5581534</v>
      </c>
      <c r="AH61" s="410">
        <v>5581534</v>
      </c>
      <c r="AI61" s="410">
        <f>22792600-AH61</f>
        <v>17211066</v>
      </c>
      <c r="AJ61" s="410">
        <v>17211066</v>
      </c>
      <c r="AK61" s="410">
        <v>19802834</v>
      </c>
      <c r="AL61" s="410">
        <v>19802834</v>
      </c>
      <c r="AM61" s="410">
        <v>26132141</v>
      </c>
      <c r="AN61" s="410">
        <v>22144000</v>
      </c>
      <c r="AO61" s="410">
        <f>23163681+7270000</f>
        <v>30433681</v>
      </c>
      <c r="AP61" s="410">
        <v>22144000</v>
      </c>
      <c r="AQ61" s="410">
        <v>30433681</v>
      </c>
      <c r="AR61" s="410">
        <v>22144000</v>
      </c>
      <c r="AS61" s="410">
        <v>30433681</v>
      </c>
      <c r="AT61" s="410">
        <v>26132667</v>
      </c>
      <c r="AU61" s="410">
        <v>30433681</v>
      </c>
      <c r="AV61" s="410">
        <v>34704000</v>
      </c>
      <c r="AW61" s="410">
        <f>19305298+7270000</f>
        <v>26575298</v>
      </c>
      <c r="AX61" s="410">
        <v>34704000</v>
      </c>
      <c r="AY61" s="410">
        <v>26575298</v>
      </c>
      <c r="AZ61" s="410">
        <v>36749867</v>
      </c>
      <c r="BA61" s="410">
        <f>AW61+AU61+AS61+AQ61+AO61+AM61+AK61+AI61+AG61+AE61+AC61+AY61</f>
        <v>243612895</v>
      </c>
      <c r="BB61" s="410">
        <f t="shared" si="341"/>
        <v>243612895</v>
      </c>
      <c r="BC61" s="410">
        <f t="shared" si="342"/>
        <v>241317968</v>
      </c>
      <c r="BD61" s="410">
        <f t="shared" si="343"/>
        <v>243612895</v>
      </c>
      <c r="BE61" s="410">
        <f t="shared" si="344"/>
        <v>241317968</v>
      </c>
      <c r="BF61" s="410"/>
      <c r="BG61" s="410">
        <v>0</v>
      </c>
      <c r="BH61" s="410">
        <v>0</v>
      </c>
      <c r="BI61" s="410">
        <v>10792333</v>
      </c>
      <c r="BJ61" s="410">
        <v>1520633</v>
      </c>
      <c r="BK61" s="410">
        <v>30910000</v>
      </c>
      <c r="BL61" s="410">
        <f>31614966-1520633</f>
        <v>30094333</v>
      </c>
      <c r="BM61" s="410">
        <v>30910000</v>
      </c>
      <c r="BN61" s="410">
        <v>27403000</v>
      </c>
      <c r="BO61" s="410">
        <v>30910000</v>
      </c>
      <c r="BP61" s="410">
        <v>34417000</v>
      </c>
      <c r="BQ61" s="410">
        <v>30910000</v>
      </c>
      <c r="BR61" s="410">
        <v>30910000</v>
      </c>
      <c r="BS61" s="410">
        <v>30910000</v>
      </c>
      <c r="BT61" s="410">
        <v>30910000</v>
      </c>
      <c r="BU61" s="410">
        <v>30910000</v>
      </c>
      <c r="BV61" s="410">
        <v>30910000</v>
      </c>
      <c r="BW61" s="410">
        <v>29587374</v>
      </c>
      <c r="BX61" s="410">
        <v>30910000</v>
      </c>
      <c r="BY61" s="410">
        <v>23892333</v>
      </c>
      <c r="BZ61" s="410">
        <v>22588000</v>
      </c>
      <c r="CA61" s="410">
        <v>22588000</v>
      </c>
      <c r="CB61" s="410">
        <v>28672434</v>
      </c>
      <c r="CC61" s="410">
        <f>17403960+32500768</f>
        <v>49904728</v>
      </c>
      <c r="CD61" s="410">
        <v>34746000</v>
      </c>
      <c r="CE61" s="410">
        <f>CA61+BY61+BW61+BU61+BS61+BQ61+BO61+BM61+BK61+BI61+BG61+CC61</f>
        <v>322224768</v>
      </c>
      <c r="CF61" s="410">
        <f t="shared" si="345"/>
        <v>322224768</v>
      </c>
      <c r="CG61" s="410">
        <f t="shared" si="346"/>
        <v>303081400</v>
      </c>
      <c r="CH61" s="410">
        <f t="shared" si="347"/>
        <v>322224768</v>
      </c>
      <c r="CI61" s="410">
        <f t="shared" si="348"/>
        <v>303081400</v>
      </c>
      <c r="CJ61" s="410"/>
      <c r="CK61" s="410"/>
      <c r="CL61" s="410"/>
      <c r="CM61" s="410">
        <v>0</v>
      </c>
      <c r="CN61" s="410">
        <v>0</v>
      </c>
      <c r="CO61" s="410">
        <v>11707467</v>
      </c>
      <c r="CP61" s="410">
        <v>11707467</v>
      </c>
      <c r="CQ61" s="410">
        <v>32819700</v>
      </c>
      <c r="CR61" s="410">
        <v>31252667</v>
      </c>
      <c r="CS61" s="410">
        <v>32819700</v>
      </c>
      <c r="CT61" s="410">
        <v>33211000</v>
      </c>
      <c r="CU61" s="410">
        <v>32819700</v>
      </c>
      <c r="CV61" s="410">
        <v>33211000</v>
      </c>
      <c r="CW61" s="410">
        <v>32819700</v>
      </c>
      <c r="CX61" s="410">
        <v>33211000</v>
      </c>
      <c r="CY61" s="410">
        <v>32819700</v>
      </c>
      <c r="CZ61" s="410">
        <v>33211000</v>
      </c>
      <c r="DA61" s="410">
        <v>32819700</v>
      </c>
      <c r="DB61" s="410">
        <v>33211000</v>
      </c>
      <c r="DC61" s="410">
        <v>32819700</v>
      </c>
      <c r="DD61" s="410">
        <v>33211000</v>
      </c>
      <c r="DE61" s="410">
        <v>32819700</v>
      </c>
      <c r="DF61" s="410">
        <v>33211000</v>
      </c>
      <c r="DG61" s="410">
        <f>95734933-13561599</f>
        <v>82173334</v>
      </c>
      <c r="DH61" s="410">
        <v>58596000</v>
      </c>
      <c r="DI61" s="410">
        <f t="shared" ref="DI61:DI64" si="360">DE61+DC61+DA61+CY61+CW61+CU61+CS61+CQ61+CO61+CM61+CK61+DG61</f>
        <v>356438401</v>
      </c>
      <c r="DJ61" s="410">
        <f t="shared" ref="DJ61" si="361">CK61+CM61+CO61+CQ61+CS61+CU61+CW61+CY61+DA61+DC61+DE61</f>
        <v>274265067</v>
      </c>
      <c r="DK61" s="405">
        <f>CL61+CN61+CP61+CR61+CT61+CV61+CX61+CZ61+DB61+DD61+DF61+DH61</f>
        <v>334033134</v>
      </c>
      <c r="DL61" s="410">
        <f t="shared" si="356"/>
        <v>356438401</v>
      </c>
      <c r="DM61" s="410">
        <f t="shared" si="357"/>
        <v>334033134</v>
      </c>
      <c r="DN61" s="410"/>
      <c r="DO61" s="411"/>
      <c r="DP61" s="411"/>
      <c r="DQ61" s="411"/>
      <c r="DR61" s="411"/>
      <c r="DS61" s="411"/>
      <c r="DT61" s="411"/>
      <c r="DU61" s="411"/>
      <c r="DV61" s="411"/>
      <c r="DW61" s="411"/>
      <c r="DX61" s="411"/>
      <c r="DY61" s="411"/>
      <c r="DZ61" s="411"/>
      <c r="EA61" s="411"/>
      <c r="EB61" s="411"/>
      <c r="EC61" s="411"/>
      <c r="ED61" s="411"/>
      <c r="EE61" s="411"/>
      <c r="EF61" s="411"/>
      <c r="EG61" s="411"/>
      <c r="EH61" s="411"/>
      <c r="EI61" s="411"/>
      <c r="EJ61" s="411"/>
      <c r="EK61" s="411"/>
      <c r="EL61" s="411"/>
      <c r="EM61" s="402">
        <f t="shared" ref="EM61:EM64" si="362">EI61+EG61+EE61+EC61+EA61+DY61+DW61+DU61+DS61+DQ61+DO61+EK61</f>
        <v>0</v>
      </c>
      <c r="EN61" s="413">
        <f t="shared" ref="EN61:EO61" si="363">DO61+DQ61+DS61+DU61</f>
        <v>0</v>
      </c>
      <c r="EO61" s="413">
        <f t="shared" si="363"/>
        <v>0</v>
      </c>
      <c r="EP61" s="412">
        <f t="shared" ref="EP61:EP62" si="364">DQ61+DS61+DU61+DW61+DY61+EA61+EC61+EE61+EG61+EI61+EK61</f>
        <v>0</v>
      </c>
      <c r="EQ61" s="413"/>
      <c r="ER61" s="407">
        <f t="shared" si="23"/>
        <v>0.71307804062081748</v>
      </c>
      <c r="ES61" s="407">
        <f t="shared" si="324"/>
        <v>1.2179208152673706</v>
      </c>
      <c r="ET61" s="408">
        <f t="shared" si="325"/>
        <v>0.93714126497834893</v>
      </c>
      <c r="EU61" s="408">
        <f t="shared" si="326"/>
        <v>1.0456251011111461</v>
      </c>
      <c r="EV61" s="409">
        <f t="shared" ref="EV61:EV62" si="365">IFERROR((AA61+BE61+CI61+DM61)/G61,0)</f>
        <v>0</v>
      </c>
      <c r="EW61" s="735"/>
      <c r="EX61" s="735"/>
      <c r="EY61" s="735"/>
      <c r="EZ61" s="735"/>
      <c r="FA61" s="735"/>
      <c r="FB61" s="770"/>
      <c r="FC61" s="82"/>
      <c r="FD61" s="82"/>
    </row>
    <row r="62" spans="1:160" ht="30" customHeight="1" x14ac:dyDescent="0.25">
      <c r="A62" s="694"/>
      <c r="B62" s="694"/>
      <c r="C62" s="694"/>
      <c r="D62" s="694"/>
      <c r="E62" s="694"/>
      <c r="F62" s="84" t="s">
        <v>351</v>
      </c>
      <c r="G62" s="374"/>
      <c r="H62" s="442"/>
      <c r="I62" s="374"/>
      <c r="J62" s="374"/>
      <c r="K62" s="374"/>
      <c r="L62" s="374"/>
      <c r="M62" s="374"/>
      <c r="N62" s="374"/>
      <c r="O62" s="374"/>
      <c r="P62" s="374"/>
      <c r="Q62" s="374"/>
      <c r="R62" s="374"/>
      <c r="S62" s="374"/>
      <c r="T62" s="374"/>
      <c r="U62" s="374"/>
      <c r="V62" s="374"/>
      <c r="W62" s="406">
        <f t="shared" si="337"/>
        <v>0</v>
      </c>
      <c r="X62" s="406">
        <f t="shared" si="338"/>
        <v>0</v>
      </c>
      <c r="Y62" s="406">
        <f t="shared" si="339"/>
        <v>0</v>
      </c>
      <c r="Z62" s="406">
        <f t="shared" ref="Z62:AA62" si="366">+U62</f>
        <v>0</v>
      </c>
      <c r="AA62" s="406">
        <f t="shared" si="366"/>
        <v>0</v>
      </c>
      <c r="AB62" s="374"/>
      <c r="AC62" s="374"/>
      <c r="AD62" s="374"/>
      <c r="AE62" s="374"/>
      <c r="AF62" s="374"/>
      <c r="AG62" s="374"/>
      <c r="AH62" s="374"/>
      <c r="AI62" s="374"/>
      <c r="AJ62" s="374"/>
      <c r="AK62" s="404"/>
      <c r="AL62" s="404"/>
      <c r="AM62" s="404"/>
      <c r="AN62" s="404"/>
      <c r="AO62" s="404"/>
      <c r="AP62" s="404"/>
      <c r="AQ62" s="404"/>
      <c r="AR62" s="404"/>
      <c r="AS62" s="404"/>
      <c r="AT62" s="404"/>
      <c r="AU62" s="404"/>
      <c r="AV62" s="404"/>
      <c r="AW62" s="404"/>
      <c r="AX62" s="404"/>
      <c r="AY62" s="404"/>
      <c r="AZ62" s="404"/>
      <c r="BA62" s="402">
        <v>0</v>
      </c>
      <c r="BB62" s="406">
        <f t="shared" si="341"/>
        <v>0</v>
      </c>
      <c r="BC62" s="406">
        <f t="shared" si="342"/>
        <v>0</v>
      </c>
      <c r="BD62" s="406">
        <f>AC62+AE62+AG62+AI62+AK62+AM62+AO62+AQ62+AS62+AU62+AW62+AY62</f>
        <v>0</v>
      </c>
      <c r="BE62" s="406">
        <f t="shared" si="344"/>
        <v>0</v>
      </c>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c r="CC62" s="404"/>
      <c r="CD62" s="404"/>
      <c r="CE62" s="402">
        <v>0</v>
      </c>
      <c r="CF62" s="406">
        <f t="shared" si="345"/>
        <v>0</v>
      </c>
      <c r="CG62" s="406">
        <f t="shared" si="346"/>
        <v>0</v>
      </c>
      <c r="CH62" s="406">
        <f>BG62+BI62+BK62+BM62+BO62+BQ62+BS62+BU62+BW62+BY62+CA62+CC62</f>
        <v>0</v>
      </c>
      <c r="CI62" s="405">
        <f t="shared" si="348"/>
        <v>0</v>
      </c>
      <c r="CJ62" s="404"/>
      <c r="CK62" s="404"/>
      <c r="CL62" s="404"/>
      <c r="CM62" s="404"/>
      <c r="CN62" s="404"/>
      <c r="CO62" s="404"/>
      <c r="CP62" s="404"/>
      <c r="CQ62" s="404"/>
      <c r="CR62" s="404"/>
      <c r="CS62" s="404"/>
      <c r="CT62" s="404"/>
      <c r="CU62" s="404"/>
      <c r="CV62" s="404"/>
      <c r="CW62" s="404"/>
      <c r="CX62" s="404"/>
      <c r="CY62" s="404"/>
      <c r="CZ62" s="404"/>
      <c r="DA62" s="404"/>
      <c r="DB62" s="404"/>
      <c r="DC62" s="404"/>
      <c r="DD62" s="404"/>
      <c r="DE62" s="404"/>
      <c r="DF62" s="404"/>
      <c r="DG62" s="404"/>
      <c r="DH62" s="404"/>
      <c r="DI62" s="402">
        <f t="shared" si="360"/>
        <v>0</v>
      </c>
      <c r="DJ62" s="405">
        <f t="shared" ref="DJ62" si="367">CK62+CM62+CO62+CQ62+CS62+CU62+CW62+CY62+DA62+DC62+DE62</f>
        <v>0</v>
      </c>
      <c r="DK62" s="405">
        <f t="shared" si="355"/>
        <v>0</v>
      </c>
      <c r="DL62" s="402">
        <f t="shared" si="356"/>
        <v>0</v>
      </c>
      <c r="DM62" s="402">
        <f t="shared" si="357"/>
        <v>0</v>
      </c>
      <c r="DN62" s="404"/>
      <c r="DO62" s="404"/>
      <c r="DP62" s="404"/>
      <c r="DQ62" s="404"/>
      <c r="DR62" s="404"/>
      <c r="DS62" s="404"/>
      <c r="DT62" s="404"/>
      <c r="DU62" s="404"/>
      <c r="DV62" s="404"/>
      <c r="DW62" s="404"/>
      <c r="DX62" s="404"/>
      <c r="DY62" s="404"/>
      <c r="DZ62" s="404"/>
      <c r="EA62" s="404"/>
      <c r="EB62" s="404"/>
      <c r="EC62" s="404"/>
      <c r="ED62" s="404"/>
      <c r="EE62" s="404"/>
      <c r="EF62" s="404"/>
      <c r="EG62" s="404"/>
      <c r="EH62" s="404"/>
      <c r="EI62" s="404"/>
      <c r="EJ62" s="404"/>
      <c r="EK62" s="404"/>
      <c r="EL62" s="404"/>
      <c r="EM62" s="405">
        <f t="shared" si="362"/>
        <v>0</v>
      </c>
      <c r="EN62" s="429">
        <f t="shared" ref="EN62:EO62" si="368">DO62+DQ62+DS62+DU62</f>
        <v>0</v>
      </c>
      <c r="EO62" s="429">
        <f t="shared" si="368"/>
        <v>0</v>
      </c>
      <c r="EP62" s="430">
        <f t="shared" si="364"/>
        <v>0</v>
      </c>
      <c r="EQ62" s="416"/>
      <c r="ER62" s="407">
        <f>IFERROR(DH62/DG62,0)</f>
        <v>0</v>
      </c>
      <c r="ES62" s="407">
        <f>IFERROR(DK62/DJ62,0)</f>
        <v>0</v>
      </c>
      <c r="ET62" s="408">
        <f>IFERROR(DM62/DL62,0)</f>
        <v>0</v>
      </c>
      <c r="EU62" s="408">
        <f>IFERROR((AA62+BE62+CI62+DK62)/(Z62+BD62+CH62+DJ62),0)</f>
        <v>0</v>
      </c>
      <c r="EV62" s="409">
        <f t="shared" si="365"/>
        <v>0</v>
      </c>
      <c r="EW62" s="735"/>
      <c r="EX62" s="735"/>
      <c r="EY62" s="735"/>
      <c r="EZ62" s="735"/>
      <c r="FA62" s="735"/>
      <c r="FB62" s="770"/>
      <c r="FC62" s="88"/>
      <c r="FD62" s="88"/>
    </row>
    <row r="63" spans="1:160" ht="30" customHeight="1" x14ac:dyDescent="0.25">
      <c r="A63" s="694"/>
      <c r="B63" s="694"/>
      <c r="C63" s="694"/>
      <c r="D63" s="694"/>
      <c r="E63" s="694"/>
      <c r="F63" s="85" t="s">
        <v>352</v>
      </c>
      <c r="G63" s="410">
        <f>AA63+BE63+CI63+DL63+DN63</f>
        <v>93135633</v>
      </c>
      <c r="H63" s="410"/>
      <c r="I63" s="410"/>
      <c r="J63" s="410"/>
      <c r="K63" s="410"/>
      <c r="L63" s="410"/>
      <c r="M63" s="410"/>
      <c r="N63" s="410"/>
      <c r="O63" s="410"/>
      <c r="P63" s="410"/>
      <c r="Q63" s="410"/>
      <c r="R63" s="410"/>
      <c r="S63" s="410"/>
      <c r="T63" s="410"/>
      <c r="U63" s="410"/>
      <c r="V63" s="410"/>
      <c r="W63" s="410">
        <f t="shared" si="337"/>
        <v>0</v>
      </c>
      <c r="X63" s="410">
        <f t="shared" si="338"/>
        <v>0</v>
      </c>
      <c r="Y63" s="410">
        <f t="shared" si="339"/>
        <v>0</v>
      </c>
      <c r="Z63" s="410">
        <f t="shared" ref="Z63:AA63" si="369">+U63</f>
        <v>0</v>
      </c>
      <c r="AA63" s="410">
        <f t="shared" si="369"/>
        <v>0</v>
      </c>
      <c r="AB63" s="410">
        <v>46923400</v>
      </c>
      <c r="AC63" s="410">
        <v>5648300</v>
      </c>
      <c r="AD63" s="410">
        <v>5648300</v>
      </c>
      <c r="AE63" s="410">
        <f>33089933-AD63</f>
        <v>27441633</v>
      </c>
      <c r="AF63" s="410">
        <v>27441633</v>
      </c>
      <c r="AG63" s="410">
        <f>42024000-AD63-AF63</f>
        <v>8934067</v>
      </c>
      <c r="AH63" s="410">
        <v>8934067</v>
      </c>
      <c r="AI63" s="410">
        <f>44906000-AD63-AF63-AH63</f>
        <v>2882000</v>
      </c>
      <c r="AJ63" s="410">
        <v>2882000</v>
      </c>
      <c r="AK63" s="410">
        <f>46923400-AD63-AF63-AH63-AJ63</f>
        <v>2017400</v>
      </c>
      <c r="AL63" s="410">
        <v>2017400</v>
      </c>
      <c r="AM63" s="410">
        <v>0</v>
      </c>
      <c r="AN63" s="410">
        <v>0</v>
      </c>
      <c r="AO63" s="410">
        <v>0</v>
      </c>
      <c r="AP63" s="410">
        <v>0</v>
      </c>
      <c r="AQ63" s="410"/>
      <c r="AR63" s="410"/>
      <c r="AS63" s="410"/>
      <c r="AT63" s="410">
        <v>0</v>
      </c>
      <c r="AU63" s="410"/>
      <c r="AV63" s="410">
        <v>0</v>
      </c>
      <c r="AW63" s="410"/>
      <c r="AX63" s="410"/>
      <c r="AY63" s="410"/>
      <c r="AZ63" s="410"/>
      <c r="BA63" s="410">
        <f>AW63+AU63+AS63+AQ63+AO63+AM63+AK63+AI63+AG63+AE63+AC63+AY63</f>
        <v>46923400</v>
      </c>
      <c r="BB63" s="410">
        <f t="shared" si="341"/>
        <v>46923400</v>
      </c>
      <c r="BC63" s="410">
        <f t="shared" si="342"/>
        <v>46923400</v>
      </c>
      <c r="BD63" s="410">
        <f>BA63</f>
        <v>46923400</v>
      </c>
      <c r="BE63" s="410">
        <f t="shared" si="344"/>
        <v>46923400</v>
      </c>
      <c r="BF63" s="410">
        <v>35133532</v>
      </c>
      <c r="BG63" s="410">
        <v>17611533</v>
      </c>
      <c r="BH63" s="410">
        <v>17611533</v>
      </c>
      <c r="BI63" s="410">
        <v>9465600</v>
      </c>
      <c r="BJ63" s="410">
        <v>0</v>
      </c>
      <c r="BK63" s="410">
        <v>0</v>
      </c>
      <c r="BL63" s="410">
        <v>9466400</v>
      </c>
      <c r="BM63" s="410">
        <f>8056399-8055599</f>
        <v>800</v>
      </c>
      <c r="BN63" s="410">
        <v>0</v>
      </c>
      <c r="BO63" s="410">
        <v>0</v>
      </c>
      <c r="BP63" s="410"/>
      <c r="BQ63" s="410">
        <v>0</v>
      </c>
      <c r="BR63" s="410">
        <v>0</v>
      </c>
      <c r="BS63" s="410">
        <v>0</v>
      </c>
      <c r="BT63" s="410">
        <v>0</v>
      </c>
      <c r="BU63" s="410">
        <v>0</v>
      </c>
      <c r="BV63" s="410">
        <v>0</v>
      </c>
      <c r="BW63" s="410">
        <v>0</v>
      </c>
      <c r="BX63" s="410"/>
      <c r="BY63" s="410">
        <v>0</v>
      </c>
      <c r="BZ63" s="410">
        <v>0</v>
      </c>
      <c r="CA63" s="410">
        <v>0</v>
      </c>
      <c r="CB63" s="410">
        <v>0</v>
      </c>
      <c r="CC63" s="410">
        <v>0</v>
      </c>
      <c r="CD63" s="410"/>
      <c r="CE63" s="410">
        <f>CA63+BY63+BW63+BU63+BS63+BQ63+BO63+BM63+BK63+BI63+BG63+CC63</f>
        <v>27077933</v>
      </c>
      <c r="CF63" s="410">
        <f t="shared" si="345"/>
        <v>27077933</v>
      </c>
      <c r="CG63" s="410">
        <f t="shared" si="346"/>
        <v>27077933</v>
      </c>
      <c r="CH63" s="410">
        <f>CE63</f>
        <v>27077933</v>
      </c>
      <c r="CI63" s="410">
        <f t="shared" si="348"/>
        <v>27077933</v>
      </c>
      <c r="CJ63" s="410">
        <v>19134300</v>
      </c>
      <c r="CK63" s="410">
        <v>15561467</v>
      </c>
      <c r="CL63" s="410">
        <v>15561467</v>
      </c>
      <c r="CM63" s="410">
        <v>3572833</v>
      </c>
      <c r="CN63" s="410">
        <v>3572833</v>
      </c>
      <c r="CO63" s="410">
        <v>0</v>
      </c>
      <c r="CP63" s="410">
        <v>0</v>
      </c>
      <c r="CQ63" s="410"/>
      <c r="CR63" s="410">
        <v>0</v>
      </c>
      <c r="CS63" s="410"/>
      <c r="CT63" s="410">
        <v>0</v>
      </c>
      <c r="CU63" s="410"/>
      <c r="CV63" s="410"/>
      <c r="CW63" s="410"/>
      <c r="CX63" s="410"/>
      <c r="CY63" s="410"/>
      <c r="CZ63" s="410"/>
      <c r="DA63" s="410"/>
      <c r="DB63" s="410"/>
      <c r="DC63" s="410"/>
      <c r="DD63" s="410"/>
      <c r="DE63" s="410"/>
      <c r="DF63" s="410"/>
      <c r="DG63" s="410"/>
      <c r="DH63" s="410"/>
      <c r="DI63" s="410">
        <f t="shared" si="360"/>
        <v>19134300</v>
      </c>
      <c r="DJ63" s="410">
        <f t="shared" ref="DJ63" si="370">CK63+CM63+CO63+CQ63+CS63+CU63+CW63+CY63+DA63+DC63+DE63</f>
        <v>19134300</v>
      </c>
      <c r="DK63" s="405">
        <f t="shared" si="355"/>
        <v>19134300</v>
      </c>
      <c r="DL63" s="410">
        <f t="shared" si="356"/>
        <v>19134300</v>
      </c>
      <c r="DM63" s="410">
        <f t="shared" si="357"/>
        <v>19134300</v>
      </c>
      <c r="DN63" s="410"/>
      <c r="DO63" s="411"/>
      <c r="DP63" s="411"/>
      <c r="DQ63" s="411"/>
      <c r="DR63" s="411"/>
      <c r="DS63" s="411"/>
      <c r="DT63" s="411"/>
      <c r="DU63" s="411"/>
      <c r="DV63" s="411"/>
      <c r="DW63" s="411"/>
      <c r="DX63" s="411"/>
      <c r="DY63" s="411"/>
      <c r="DZ63" s="411"/>
      <c r="EA63" s="411"/>
      <c r="EB63" s="411"/>
      <c r="EC63" s="411"/>
      <c r="ED63" s="411"/>
      <c r="EE63" s="411"/>
      <c r="EF63" s="411"/>
      <c r="EG63" s="411"/>
      <c r="EH63" s="411"/>
      <c r="EI63" s="411"/>
      <c r="EJ63" s="411"/>
      <c r="EK63" s="411"/>
      <c r="EL63" s="411"/>
      <c r="EM63" s="405">
        <f t="shared" si="362"/>
        <v>0</v>
      </c>
      <c r="EN63" s="413">
        <f t="shared" ref="EN63:EO63" si="371">DO63+DQ63+DS63+DU63</f>
        <v>0</v>
      </c>
      <c r="EO63" s="413">
        <f t="shared" si="371"/>
        <v>0</v>
      </c>
      <c r="EP63" s="412">
        <f t="shared" ref="EP63:EP64" si="372">DQ63+DS63+DU63+DW63+DY63+EA63+EC63+EE63+EG63+EI63+EK63+DO63</f>
        <v>0</v>
      </c>
      <c r="EQ63" s="413"/>
      <c r="ER63" s="407">
        <f>IFERROR(DH63/DG63,0)</f>
        <v>0</v>
      </c>
      <c r="ES63" s="407">
        <f t="shared" ref="ES63:ES65" si="373">DK63/DJ63</f>
        <v>1</v>
      </c>
      <c r="ET63" s="408">
        <f t="shared" ref="ET63:ET65" si="374">DM63/DL63</f>
        <v>1</v>
      </c>
      <c r="EU63" s="408">
        <f t="shared" ref="EU63:EU67" si="375">(AA63+BE63+CI63+DK63)/(Z63+BD63+CH63+DJ63)</f>
        <v>1</v>
      </c>
      <c r="EV63" s="409">
        <f t="shared" ref="EV63:EV67" si="376">(AA63+BE63+CI63+DM63)/G63</f>
        <v>1</v>
      </c>
      <c r="EW63" s="735"/>
      <c r="EX63" s="735"/>
      <c r="EY63" s="735"/>
      <c r="EZ63" s="735"/>
      <c r="FA63" s="735"/>
      <c r="FB63" s="770"/>
      <c r="FC63" s="94"/>
      <c r="FD63" s="94"/>
    </row>
    <row r="64" spans="1:160" ht="30" customHeight="1" thickBot="1" x14ac:dyDescent="0.3">
      <c r="A64" s="694"/>
      <c r="B64" s="694"/>
      <c r="C64" s="694"/>
      <c r="D64" s="694"/>
      <c r="E64" s="694"/>
      <c r="F64" s="84" t="s">
        <v>353</v>
      </c>
      <c r="G64" s="447">
        <f t="shared" ref="G64:G65" si="377">G59+G62</f>
        <v>9.0000000000000018</v>
      </c>
      <c r="H64" s="467">
        <v>0.5</v>
      </c>
      <c r="I64" s="468"/>
      <c r="J64" s="468"/>
      <c r="K64" s="495">
        <v>0.5</v>
      </c>
      <c r="L64" s="495">
        <v>0</v>
      </c>
      <c r="M64" s="495">
        <v>0.5</v>
      </c>
      <c r="N64" s="495">
        <v>0</v>
      </c>
      <c r="O64" s="495">
        <v>0.5</v>
      </c>
      <c r="P64" s="495">
        <v>0</v>
      </c>
      <c r="Q64" s="495">
        <v>0.5</v>
      </c>
      <c r="R64" s="495">
        <v>0.17</v>
      </c>
      <c r="S64" s="495">
        <v>0.5</v>
      </c>
      <c r="T64" s="496">
        <v>0.34</v>
      </c>
      <c r="U64" s="496">
        <v>0.5</v>
      </c>
      <c r="V64" s="496">
        <v>0.5</v>
      </c>
      <c r="W64" s="450">
        <f t="shared" si="337"/>
        <v>0.5</v>
      </c>
      <c r="X64" s="450">
        <f t="shared" si="338"/>
        <v>0.5</v>
      </c>
      <c r="Y64" s="450">
        <f t="shared" si="339"/>
        <v>0.5</v>
      </c>
      <c r="Z64" s="450">
        <f t="shared" ref="Z64:AA64" si="378">+U64</f>
        <v>0.5</v>
      </c>
      <c r="AA64" s="450">
        <f t="shared" si="378"/>
        <v>0.5</v>
      </c>
      <c r="AB64" s="449">
        <v>1.4</v>
      </c>
      <c r="AC64" s="485">
        <v>7.0000000000000007E-2</v>
      </c>
      <c r="AD64" s="485">
        <v>7.0000000000000007E-2</v>
      </c>
      <c r="AE64" s="485">
        <v>0.126</v>
      </c>
      <c r="AF64" s="485">
        <v>0.126</v>
      </c>
      <c r="AG64" s="485">
        <v>0.126</v>
      </c>
      <c r="AH64" s="485">
        <v>0.126</v>
      </c>
      <c r="AI64" s="485">
        <v>0.126</v>
      </c>
      <c r="AJ64" s="485">
        <v>0.126</v>
      </c>
      <c r="AK64" s="478">
        <v>0.126</v>
      </c>
      <c r="AL64" s="478">
        <v>0.126</v>
      </c>
      <c r="AM64" s="478">
        <v>0.126</v>
      </c>
      <c r="AN64" s="478">
        <v>0.126</v>
      </c>
      <c r="AO64" s="478">
        <v>0.126</v>
      </c>
      <c r="AP64" s="478">
        <v>0.126</v>
      </c>
      <c r="AQ64" s="478">
        <v>0.126</v>
      </c>
      <c r="AR64" s="478">
        <v>0.126</v>
      </c>
      <c r="AS64" s="478">
        <v>0.126</v>
      </c>
      <c r="AT64" s="478">
        <v>0.126</v>
      </c>
      <c r="AU64" s="478">
        <v>0.126</v>
      </c>
      <c r="AV64" s="478">
        <v>0.126</v>
      </c>
      <c r="AW64" s="478">
        <v>0.126</v>
      </c>
      <c r="AX64" s="478">
        <v>0.126</v>
      </c>
      <c r="AY64" s="478">
        <v>7.0000000000000007E-2</v>
      </c>
      <c r="AZ64" s="477">
        <v>7.0000000000000007E-2</v>
      </c>
      <c r="BA64" s="449">
        <f>BA59+BA62</f>
        <v>1.4000000000000004</v>
      </c>
      <c r="BB64" s="450">
        <f t="shared" si="341"/>
        <v>1.4000000000000001</v>
      </c>
      <c r="BC64" s="450">
        <f t="shared" si="342"/>
        <v>1.4000000000000001</v>
      </c>
      <c r="BD64" s="450">
        <f>BD59+BD62</f>
        <v>1.4000000000000004</v>
      </c>
      <c r="BE64" s="450">
        <f t="shared" si="344"/>
        <v>1.4000000000000001</v>
      </c>
      <c r="BF64" s="477">
        <v>2.5</v>
      </c>
      <c r="BG64" s="477">
        <f t="shared" ref="BG64:CD64" si="379">+BG59</f>
        <v>0.06</v>
      </c>
      <c r="BH64" s="477">
        <f t="shared" si="379"/>
        <v>0.06</v>
      </c>
      <c r="BI64" s="477">
        <f t="shared" si="379"/>
        <v>0.2</v>
      </c>
      <c r="BJ64" s="477">
        <f t="shared" si="379"/>
        <v>0.2</v>
      </c>
      <c r="BK64" s="477">
        <f t="shared" si="379"/>
        <v>0.23</v>
      </c>
      <c r="BL64" s="477">
        <f t="shared" si="379"/>
        <v>0.23</v>
      </c>
      <c r="BM64" s="477">
        <f t="shared" si="379"/>
        <v>0.23</v>
      </c>
      <c r="BN64" s="477">
        <f t="shared" si="379"/>
        <v>0.23</v>
      </c>
      <c r="BO64" s="477">
        <f t="shared" si="379"/>
        <v>0.23</v>
      </c>
      <c r="BP64" s="477">
        <f t="shared" si="379"/>
        <v>0.23</v>
      </c>
      <c r="BQ64" s="477">
        <f t="shared" si="379"/>
        <v>0.23</v>
      </c>
      <c r="BR64" s="477">
        <f t="shared" si="379"/>
        <v>0.23</v>
      </c>
      <c r="BS64" s="477">
        <f t="shared" si="379"/>
        <v>0.23</v>
      </c>
      <c r="BT64" s="477">
        <f t="shared" si="379"/>
        <v>0.23</v>
      </c>
      <c r="BU64" s="477">
        <f t="shared" si="379"/>
        <v>0.25</v>
      </c>
      <c r="BV64" s="477">
        <f t="shared" si="379"/>
        <v>0.25</v>
      </c>
      <c r="BW64" s="477">
        <f t="shared" si="379"/>
        <v>0.25</v>
      </c>
      <c r="BX64" s="477">
        <f t="shared" si="379"/>
        <v>0.25</v>
      </c>
      <c r="BY64" s="477">
        <f t="shared" si="379"/>
        <v>0.25</v>
      </c>
      <c r="BZ64" s="477">
        <f t="shared" si="379"/>
        <v>0.25</v>
      </c>
      <c r="CA64" s="477">
        <f t="shared" si="379"/>
        <v>0.21</v>
      </c>
      <c r="CB64" s="477">
        <f t="shared" si="379"/>
        <v>0.21</v>
      </c>
      <c r="CC64" s="477">
        <f t="shared" si="379"/>
        <v>0.13</v>
      </c>
      <c r="CD64" s="477">
        <f t="shared" si="379"/>
        <v>0.13</v>
      </c>
      <c r="CE64" s="449">
        <f>CE59+CE62</f>
        <v>2.5</v>
      </c>
      <c r="CF64" s="450">
        <f t="shared" si="345"/>
        <v>2.5</v>
      </c>
      <c r="CG64" s="450">
        <f t="shared" si="346"/>
        <v>2.5</v>
      </c>
      <c r="CH64" s="450">
        <f>CH59+CH62</f>
        <v>2.5</v>
      </c>
      <c r="CI64" s="449">
        <f t="shared" si="348"/>
        <v>2.5</v>
      </c>
      <c r="CJ64" s="470">
        <v>3.3</v>
      </c>
      <c r="CK64" s="485">
        <f t="shared" ref="CK64:DH64" si="380">+CK59</f>
        <v>0.16500000000000001</v>
      </c>
      <c r="CL64" s="485">
        <f t="shared" si="380"/>
        <v>0.16500000000000001</v>
      </c>
      <c r="CM64" s="485">
        <f t="shared" si="380"/>
        <v>0.29699999999999999</v>
      </c>
      <c r="CN64" s="485">
        <f t="shared" si="380"/>
        <v>0.29699999999999999</v>
      </c>
      <c r="CO64" s="485">
        <f t="shared" si="380"/>
        <v>0.29699999999999999</v>
      </c>
      <c r="CP64" s="485">
        <f t="shared" si="380"/>
        <v>0.29699999999999999</v>
      </c>
      <c r="CQ64" s="485">
        <f t="shared" si="380"/>
        <v>0.29699999999999999</v>
      </c>
      <c r="CR64" s="485">
        <f t="shared" si="380"/>
        <v>0.29699999999999999</v>
      </c>
      <c r="CS64" s="485">
        <f t="shared" si="380"/>
        <v>0.29699999999999999</v>
      </c>
      <c r="CT64" s="485">
        <f t="shared" si="380"/>
        <v>0.29699999999999999</v>
      </c>
      <c r="CU64" s="485">
        <f t="shared" si="380"/>
        <v>0.29699999999999999</v>
      </c>
      <c r="CV64" s="485">
        <f t="shared" si="380"/>
        <v>0.29699999999999999</v>
      </c>
      <c r="CW64" s="485">
        <f t="shared" si="380"/>
        <v>0.29699999999999999</v>
      </c>
      <c r="CX64" s="485">
        <f t="shared" si="380"/>
        <v>0.29699999999999999</v>
      </c>
      <c r="CY64" s="485">
        <f t="shared" si="380"/>
        <v>0.29699999999999999</v>
      </c>
      <c r="CZ64" s="485">
        <f t="shared" si="380"/>
        <v>0.29699999999999999</v>
      </c>
      <c r="DA64" s="485">
        <f t="shared" si="380"/>
        <v>0.29699999999999999</v>
      </c>
      <c r="DB64" s="485">
        <f t="shared" si="380"/>
        <v>0.29699999999999999</v>
      </c>
      <c r="DC64" s="449">
        <f t="shared" si="380"/>
        <v>0.29699999999999999</v>
      </c>
      <c r="DD64" s="449">
        <f t="shared" si="380"/>
        <v>0.29699999999999999</v>
      </c>
      <c r="DE64" s="449">
        <f t="shared" si="380"/>
        <v>0.29699999999999999</v>
      </c>
      <c r="DF64" s="449">
        <f t="shared" si="380"/>
        <v>0.29699999999999999</v>
      </c>
      <c r="DG64" s="485">
        <f t="shared" si="380"/>
        <v>0.16500000000000001</v>
      </c>
      <c r="DH64" s="485">
        <f t="shared" si="380"/>
        <v>0.16500000000000001</v>
      </c>
      <c r="DI64" s="449">
        <f t="shared" si="360"/>
        <v>3.3000000000000003</v>
      </c>
      <c r="DJ64" s="449">
        <f t="shared" ref="DJ64" si="381">CK64+CM64+CO64+CQ64+CS64+CU64+CW64+CY64+DA64+DC64+DE64</f>
        <v>3.1350000000000002</v>
      </c>
      <c r="DK64" s="449">
        <f t="shared" si="355"/>
        <v>3.3000000000000003</v>
      </c>
      <c r="DL64" s="450">
        <f t="shared" si="356"/>
        <v>3.3000000000000003</v>
      </c>
      <c r="DM64" s="449">
        <f t="shared" si="357"/>
        <v>3.3000000000000003</v>
      </c>
      <c r="DN64" s="477">
        <f>DN59</f>
        <v>1.3</v>
      </c>
      <c r="DO64" s="477"/>
      <c r="DP64" s="477"/>
      <c r="DQ64" s="477"/>
      <c r="DR64" s="477"/>
      <c r="DS64" s="477"/>
      <c r="DT64" s="477"/>
      <c r="DU64" s="477"/>
      <c r="DV64" s="477"/>
      <c r="DW64" s="477"/>
      <c r="DX64" s="477"/>
      <c r="DY64" s="477"/>
      <c r="DZ64" s="477"/>
      <c r="EA64" s="477"/>
      <c r="EB64" s="477"/>
      <c r="EC64" s="477"/>
      <c r="ED64" s="477"/>
      <c r="EE64" s="477"/>
      <c r="EF64" s="477"/>
      <c r="EG64" s="477"/>
      <c r="EH64" s="477"/>
      <c r="EI64" s="477"/>
      <c r="EJ64" s="477"/>
      <c r="EK64" s="477"/>
      <c r="EL64" s="477"/>
      <c r="EM64" s="449">
        <f t="shared" si="362"/>
        <v>0</v>
      </c>
      <c r="EN64" s="477"/>
      <c r="EO64" s="472">
        <f>DP64+DR64+DT64+DV64</f>
        <v>0</v>
      </c>
      <c r="EP64" s="473">
        <f t="shared" si="372"/>
        <v>0</v>
      </c>
      <c r="EQ64" s="472"/>
      <c r="ER64" s="451">
        <f t="shared" si="23"/>
        <v>1</v>
      </c>
      <c r="ES64" s="451">
        <f t="shared" si="373"/>
        <v>1.0526315789473684</v>
      </c>
      <c r="ET64" s="452">
        <f t="shared" si="374"/>
        <v>1</v>
      </c>
      <c r="EU64" s="452">
        <f t="shared" si="375"/>
        <v>1.0218978102189782</v>
      </c>
      <c r="EV64" s="421">
        <f t="shared" si="376"/>
        <v>0.85555555555555551</v>
      </c>
      <c r="EW64" s="735"/>
      <c r="EX64" s="735"/>
      <c r="EY64" s="735"/>
      <c r="EZ64" s="735"/>
      <c r="FA64" s="735"/>
      <c r="FB64" s="770"/>
      <c r="FC64" s="88"/>
      <c r="FD64" s="88"/>
    </row>
    <row r="65" spans="1:160" ht="36" customHeight="1" thickBot="1" x14ac:dyDescent="0.3">
      <c r="A65" s="733"/>
      <c r="B65" s="733"/>
      <c r="C65" s="733"/>
      <c r="D65" s="733"/>
      <c r="E65" s="733"/>
      <c r="F65" s="86" t="s">
        <v>354</v>
      </c>
      <c r="G65" s="459">
        <f t="shared" si="377"/>
        <v>1599552234</v>
      </c>
      <c r="H65" s="460">
        <f t="shared" ref="H65:DN65" si="382">H60+H63</f>
        <v>159600000</v>
      </c>
      <c r="I65" s="460">
        <f t="shared" si="382"/>
        <v>0</v>
      </c>
      <c r="J65" s="460">
        <f t="shared" si="382"/>
        <v>0</v>
      </c>
      <c r="K65" s="460">
        <f t="shared" si="382"/>
        <v>159600000</v>
      </c>
      <c r="L65" s="460">
        <f t="shared" si="382"/>
        <v>0</v>
      </c>
      <c r="M65" s="460">
        <f t="shared" si="382"/>
        <v>152972000</v>
      </c>
      <c r="N65" s="460">
        <f t="shared" si="382"/>
        <v>101484000</v>
      </c>
      <c r="O65" s="460">
        <f t="shared" si="382"/>
        <v>152972000</v>
      </c>
      <c r="P65" s="460">
        <f t="shared" si="382"/>
        <v>116067000</v>
      </c>
      <c r="Q65" s="460">
        <f t="shared" si="382"/>
        <v>136314000</v>
      </c>
      <c r="R65" s="460">
        <f t="shared" si="382"/>
        <v>116067000</v>
      </c>
      <c r="S65" s="460">
        <f t="shared" si="382"/>
        <v>156172000</v>
      </c>
      <c r="T65" s="460">
        <f t="shared" si="382"/>
        <v>116067000</v>
      </c>
      <c r="U65" s="460">
        <f t="shared" si="382"/>
        <v>156172000</v>
      </c>
      <c r="V65" s="460">
        <f t="shared" si="382"/>
        <v>151311000</v>
      </c>
      <c r="W65" s="460">
        <f t="shared" si="382"/>
        <v>159600000</v>
      </c>
      <c r="X65" s="460">
        <f t="shared" si="382"/>
        <v>159600000</v>
      </c>
      <c r="Y65" s="460">
        <f t="shared" si="382"/>
        <v>151311000</v>
      </c>
      <c r="Z65" s="460">
        <f t="shared" si="382"/>
        <v>156172000</v>
      </c>
      <c r="AA65" s="460">
        <f t="shared" si="382"/>
        <v>151311000</v>
      </c>
      <c r="AB65" s="460">
        <f t="shared" si="382"/>
        <v>297273400</v>
      </c>
      <c r="AC65" s="460">
        <f t="shared" si="382"/>
        <v>5648300</v>
      </c>
      <c r="AD65" s="460">
        <f t="shared" si="382"/>
        <v>5648300</v>
      </c>
      <c r="AE65" s="460">
        <f t="shared" si="382"/>
        <v>127431633</v>
      </c>
      <c r="AF65" s="460">
        <f t="shared" si="382"/>
        <v>127431633</v>
      </c>
      <c r="AG65" s="460">
        <f t="shared" si="382"/>
        <v>116205067</v>
      </c>
      <c r="AH65" s="460">
        <f t="shared" si="382"/>
        <v>116205067</v>
      </c>
      <c r="AI65" s="460">
        <f t="shared" si="382"/>
        <v>17637000</v>
      </c>
      <c r="AJ65" s="460">
        <f t="shared" si="382"/>
        <v>17637000</v>
      </c>
      <c r="AK65" s="460">
        <f t="shared" si="382"/>
        <v>2017400</v>
      </c>
      <c r="AL65" s="460">
        <f t="shared" si="382"/>
        <v>2017400</v>
      </c>
      <c r="AM65" s="460">
        <f t="shared" si="382"/>
        <v>43620000</v>
      </c>
      <c r="AN65" s="460">
        <f t="shared" si="382"/>
        <v>0</v>
      </c>
      <c r="AO65" s="460">
        <f t="shared" si="382"/>
        <v>0</v>
      </c>
      <c r="AP65" s="460">
        <f t="shared" si="382"/>
        <v>0</v>
      </c>
      <c r="AQ65" s="460">
        <f t="shared" si="382"/>
        <v>12073000</v>
      </c>
      <c r="AR65" s="460">
        <f t="shared" si="382"/>
        <v>34896000</v>
      </c>
      <c r="AS65" s="460">
        <f t="shared" si="382"/>
        <v>0</v>
      </c>
      <c r="AT65" s="460">
        <f t="shared" si="382"/>
        <v>10815500</v>
      </c>
      <c r="AU65" s="460">
        <f t="shared" si="382"/>
        <v>0</v>
      </c>
      <c r="AV65" s="460">
        <f t="shared" si="382"/>
        <v>0</v>
      </c>
      <c r="AW65" s="460">
        <f t="shared" si="382"/>
        <v>0</v>
      </c>
      <c r="AX65" s="460">
        <f t="shared" si="382"/>
        <v>8724000</v>
      </c>
      <c r="AY65" s="460">
        <f t="shared" si="382"/>
        <v>0</v>
      </c>
      <c r="AZ65" s="460">
        <f t="shared" si="382"/>
        <v>0</v>
      </c>
      <c r="BA65" s="460">
        <f t="shared" si="382"/>
        <v>324632400</v>
      </c>
      <c r="BB65" s="460">
        <f t="shared" si="382"/>
        <v>324632400</v>
      </c>
      <c r="BC65" s="460">
        <f t="shared" si="382"/>
        <v>323374900</v>
      </c>
      <c r="BD65" s="460">
        <f t="shared" si="382"/>
        <v>324632400</v>
      </c>
      <c r="BE65" s="460">
        <f t="shared" si="382"/>
        <v>323374900</v>
      </c>
      <c r="BF65" s="460">
        <f t="shared" si="382"/>
        <v>324857532</v>
      </c>
      <c r="BG65" s="460">
        <f t="shared" si="382"/>
        <v>307275167</v>
      </c>
      <c r="BH65" s="460">
        <f t="shared" si="382"/>
        <v>307275167</v>
      </c>
      <c r="BI65" s="460">
        <f t="shared" si="382"/>
        <v>9465600</v>
      </c>
      <c r="BJ65" s="460">
        <f t="shared" si="382"/>
        <v>0</v>
      </c>
      <c r="BK65" s="460">
        <f t="shared" si="382"/>
        <v>0</v>
      </c>
      <c r="BL65" s="460">
        <f t="shared" si="382"/>
        <v>9466400</v>
      </c>
      <c r="BM65" s="460">
        <f t="shared" si="382"/>
        <v>800</v>
      </c>
      <c r="BN65" s="460">
        <f t="shared" si="382"/>
        <v>0</v>
      </c>
      <c r="BO65" s="460">
        <f t="shared" si="382"/>
        <v>0</v>
      </c>
      <c r="BP65" s="460">
        <f t="shared" si="382"/>
        <v>0</v>
      </c>
      <c r="BQ65" s="460">
        <f t="shared" si="382"/>
        <v>0</v>
      </c>
      <c r="BR65" s="460">
        <f t="shared" si="382"/>
        <v>0</v>
      </c>
      <c r="BS65" s="460">
        <f t="shared" si="382"/>
        <v>0</v>
      </c>
      <c r="BT65" s="460">
        <f t="shared" si="382"/>
        <v>0</v>
      </c>
      <c r="BU65" s="460">
        <f t="shared" si="382"/>
        <v>0</v>
      </c>
      <c r="BV65" s="460">
        <f t="shared" si="382"/>
        <v>0</v>
      </c>
      <c r="BW65" s="460">
        <f t="shared" si="382"/>
        <v>0</v>
      </c>
      <c r="BX65" s="460">
        <f t="shared" si="382"/>
        <v>0</v>
      </c>
      <c r="BY65" s="460">
        <f t="shared" si="382"/>
        <v>0</v>
      </c>
      <c r="BZ65" s="460">
        <f t="shared" si="382"/>
        <v>7826000</v>
      </c>
      <c r="CA65" s="460">
        <f t="shared" si="382"/>
        <v>32500768</v>
      </c>
      <c r="CB65" s="460">
        <f t="shared" si="382"/>
        <v>6517000</v>
      </c>
      <c r="CC65" s="460">
        <f t="shared" si="382"/>
        <v>60366</v>
      </c>
      <c r="CD65" s="460">
        <f t="shared" si="382"/>
        <v>18209066</v>
      </c>
      <c r="CE65" s="460">
        <f t="shared" si="382"/>
        <v>349302701</v>
      </c>
      <c r="CF65" s="460">
        <f t="shared" si="382"/>
        <v>349302701</v>
      </c>
      <c r="CG65" s="460">
        <f t="shared" si="382"/>
        <v>349293633</v>
      </c>
      <c r="CH65" s="460">
        <f t="shared" si="382"/>
        <v>349302701</v>
      </c>
      <c r="CI65" s="460">
        <f t="shared" si="382"/>
        <v>349293633</v>
      </c>
      <c r="CJ65" s="460">
        <f t="shared" si="382"/>
        <v>389134300</v>
      </c>
      <c r="CK65" s="460">
        <f t="shared" si="382"/>
        <v>15561467</v>
      </c>
      <c r="CL65" s="460">
        <f t="shared" si="382"/>
        <v>15561467</v>
      </c>
      <c r="CM65" s="460">
        <f t="shared" si="382"/>
        <v>304797833</v>
      </c>
      <c r="CN65" s="460">
        <f t="shared" si="382"/>
        <v>304797833</v>
      </c>
      <c r="CO65" s="460">
        <f t="shared" si="382"/>
        <v>35217000</v>
      </c>
      <c r="CP65" s="460">
        <f t="shared" si="382"/>
        <v>35217000</v>
      </c>
      <c r="CQ65" s="460">
        <f t="shared" si="382"/>
        <v>0</v>
      </c>
      <c r="CR65" s="460">
        <f t="shared" si="382"/>
        <v>0</v>
      </c>
      <c r="CS65" s="460">
        <f t="shared" si="382"/>
        <v>0</v>
      </c>
      <c r="CT65" s="460">
        <f t="shared" si="382"/>
        <v>0</v>
      </c>
      <c r="CU65" s="460">
        <f t="shared" si="382"/>
        <v>0</v>
      </c>
      <c r="CV65" s="460">
        <f t="shared" si="382"/>
        <v>0</v>
      </c>
      <c r="CW65" s="460">
        <f t="shared" si="382"/>
        <v>0</v>
      </c>
      <c r="CX65" s="460">
        <f t="shared" si="382"/>
        <v>0</v>
      </c>
      <c r="CY65" s="460">
        <f t="shared" si="382"/>
        <v>0</v>
      </c>
      <c r="CZ65" s="460">
        <f t="shared" si="382"/>
        <v>0</v>
      </c>
      <c r="DA65" s="460">
        <f t="shared" si="382"/>
        <v>0</v>
      </c>
      <c r="DB65" s="460">
        <f t="shared" si="382"/>
        <v>0</v>
      </c>
      <c r="DC65" s="460">
        <f t="shared" si="382"/>
        <v>0</v>
      </c>
      <c r="DD65" s="460">
        <f t="shared" si="382"/>
        <v>0</v>
      </c>
      <c r="DE65" s="460">
        <f t="shared" si="382"/>
        <v>19996401</v>
      </c>
      <c r="DF65" s="460">
        <f t="shared" si="382"/>
        <v>0</v>
      </c>
      <c r="DG65" s="460">
        <f t="shared" si="382"/>
        <v>0</v>
      </c>
      <c r="DH65" s="460">
        <f t="shared" si="382"/>
        <v>19996401</v>
      </c>
      <c r="DI65" s="460">
        <f t="shared" si="382"/>
        <v>375572701</v>
      </c>
      <c r="DJ65" s="460">
        <f t="shared" si="382"/>
        <v>375572701</v>
      </c>
      <c r="DK65" s="460">
        <f t="shared" si="382"/>
        <v>375572701</v>
      </c>
      <c r="DL65" s="460">
        <f t="shared" si="382"/>
        <v>375572701</v>
      </c>
      <c r="DM65" s="460">
        <f t="shared" si="382"/>
        <v>375572701</v>
      </c>
      <c r="DN65" s="460">
        <f t="shared" si="382"/>
        <v>400000000</v>
      </c>
      <c r="DO65" s="461"/>
      <c r="DP65" s="461"/>
      <c r="DQ65" s="461"/>
      <c r="DR65" s="461"/>
      <c r="DS65" s="461"/>
      <c r="DT65" s="461"/>
      <c r="DU65" s="461"/>
      <c r="DV65" s="461"/>
      <c r="DW65" s="461"/>
      <c r="DX65" s="461"/>
      <c r="DY65" s="461"/>
      <c r="DZ65" s="461"/>
      <c r="EA65" s="461"/>
      <c r="EB65" s="461"/>
      <c r="EC65" s="461"/>
      <c r="ED65" s="461"/>
      <c r="EE65" s="461"/>
      <c r="EF65" s="461"/>
      <c r="EG65" s="461"/>
      <c r="EH65" s="461"/>
      <c r="EI65" s="461"/>
      <c r="EJ65" s="461"/>
      <c r="EK65" s="461"/>
      <c r="EL65" s="461"/>
      <c r="EM65" s="462">
        <f t="shared" ref="EM65:EM67" si="383">EK65+EI65+EG65+EE65+EC65+EA65+DY65+DW65+DU65+DS65+DQ65+DO65</f>
        <v>0</v>
      </c>
      <c r="EN65" s="463">
        <f>+EN60+EN63</f>
        <v>0</v>
      </c>
      <c r="EO65" s="463">
        <f>EO60+EO63</f>
        <v>0</v>
      </c>
      <c r="EP65" s="463">
        <f>+EP60+EP63</f>
        <v>0</v>
      </c>
      <c r="EQ65" s="463"/>
      <c r="ER65" s="464">
        <f t="shared" ref="ER65:ER72" si="384">IFERROR(DH65/DG65,0)</f>
        <v>0</v>
      </c>
      <c r="ES65" s="464">
        <f t="shared" si="373"/>
        <v>1</v>
      </c>
      <c r="ET65" s="465">
        <f t="shared" si="374"/>
        <v>1</v>
      </c>
      <c r="EU65" s="465">
        <f t="shared" si="375"/>
        <v>0.99491774848526493</v>
      </c>
      <c r="EV65" s="466">
        <f t="shared" si="376"/>
        <v>0.74993001697748873</v>
      </c>
      <c r="EW65" s="768"/>
      <c r="EX65" s="735"/>
      <c r="EY65" s="735"/>
      <c r="EZ65" s="735"/>
      <c r="FA65" s="735"/>
      <c r="FB65" s="770"/>
      <c r="FC65" s="95"/>
      <c r="FD65" s="95"/>
    </row>
    <row r="66" spans="1:160" ht="30" customHeight="1" x14ac:dyDescent="0.25">
      <c r="A66" s="748" t="s">
        <v>375</v>
      </c>
      <c r="B66" s="747">
        <v>9</v>
      </c>
      <c r="C66" s="732" t="s">
        <v>376</v>
      </c>
      <c r="D66" s="748" t="s">
        <v>177</v>
      </c>
      <c r="E66" s="732" t="s">
        <v>377</v>
      </c>
      <c r="F66" s="78" t="s">
        <v>345</v>
      </c>
      <c r="G66" s="426">
        <f t="shared" ref="G66:G67" si="385">AA66+BE66+CI66+DL66+DN66</f>
        <v>0.9</v>
      </c>
      <c r="H66" s="474">
        <v>1</v>
      </c>
      <c r="I66" s="431"/>
      <c r="J66" s="431"/>
      <c r="K66" s="431">
        <v>1</v>
      </c>
      <c r="L66" s="426">
        <v>0</v>
      </c>
      <c r="M66" s="431">
        <v>1</v>
      </c>
      <c r="N66" s="436">
        <v>0</v>
      </c>
      <c r="O66" s="431">
        <v>1</v>
      </c>
      <c r="P66" s="436">
        <v>0</v>
      </c>
      <c r="Q66" s="431">
        <v>1</v>
      </c>
      <c r="R66" s="437">
        <v>0.5</v>
      </c>
      <c r="S66" s="431">
        <v>1</v>
      </c>
      <c r="T66" s="454">
        <v>0.7</v>
      </c>
      <c r="U66" s="431">
        <v>1</v>
      </c>
      <c r="V66" s="431">
        <v>0.9</v>
      </c>
      <c r="W66" s="455">
        <f t="shared" ref="W66:W71" si="386">+H66</f>
        <v>1</v>
      </c>
      <c r="X66" s="455">
        <f t="shared" ref="X66:X71" si="387">+H66</f>
        <v>1</v>
      </c>
      <c r="Y66" s="455">
        <f t="shared" ref="Y66:Y71" si="388">+V66</f>
        <v>0.9</v>
      </c>
      <c r="Z66" s="455">
        <f t="shared" ref="Z66:AA66" si="389">+U66</f>
        <v>1</v>
      </c>
      <c r="AA66" s="455">
        <f t="shared" si="389"/>
        <v>0.9</v>
      </c>
      <c r="AB66" s="436">
        <v>0</v>
      </c>
      <c r="AC66" s="437">
        <v>0</v>
      </c>
      <c r="AD66" s="437">
        <v>0</v>
      </c>
      <c r="AE66" s="437">
        <v>0</v>
      </c>
      <c r="AF66" s="437">
        <v>0</v>
      </c>
      <c r="AG66" s="437">
        <v>0</v>
      </c>
      <c r="AH66" s="437">
        <v>0</v>
      </c>
      <c r="AI66" s="437">
        <v>0</v>
      </c>
      <c r="AJ66" s="437">
        <v>0</v>
      </c>
      <c r="AK66" s="437">
        <v>0</v>
      </c>
      <c r="AL66" s="437">
        <v>0</v>
      </c>
      <c r="AM66" s="437">
        <v>0</v>
      </c>
      <c r="AN66" s="437">
        <v>0</v>
      </c>
      <c r="AO66" s="437">
        <v>0</v>
      </c>
      <c r="AP66" s="437">
        <v>0</v>
      </c>
      <c r="AQ66" s="437">
        <v>0</v>
      </c>
      <c r="AR66" s="437">
        <v>0</v>
      </c>
      <c r="AS66" s="437">
        <v>0</v>
      </c>
      <c r="AT66" s="437">
        <v>0</v>
      </c>
      <c r="AU66" s="437">
        <v>0</v>
      </c>
      <c r="AV66" s="437">
        <v>0</v>
      </c>
      <c r="AW66" s="437">
        <v>0</v>
      </c>
      <c r="AX66" s="437">
        <v>0</v>
      </c>
      <c r="AY66" s="437">
        <v>0</v>
      </c>
      <c r="AZ66" s="437">
        <v>0</v>
      </c>
      <c r="BA66" s="455">
        <f>AY66+AW66+AU66+AS66+AO66+AM66+AK66+AI66+AG66+AE66+AC66+AQ66</f>
        <v>0</v>
      </c>
      <c r="BB66" s="455">
        <f t="shared" ref="BB66:BB71" si="390">AC66+AE66+AG66+AI66+AK66+AM66+AO66+AQ66+AS66+AU66+AW66+AY66</f>
        <v>0</v>
      </c>
      <c r="BC66" s="455">
        <f t="shared" ref="BC66:BC71" si="391">+AN66+AD66+AF66+AH66+AJ66+AL66+AP66+AR66+AT66+AV66+AX66+AZ66</f>
        <v>0</v>
      </c>
      <c r="BD66" s="455">
        <f>BA66</f>
        <v>0</v>
      </c>
      <c r="BE66" s="455">
        <f t="shared" ref="BE66:BE71" si="392">AF66+AH66+AJ66+AL66+AD66+AN66+AP66+AR66+AT66+AV66+AX66+AZ66</f>
        <v>0</v>
      </c>
      <c r="BF66" s="426">
        <v>0</v>
      </c>
      <c r="BG66" s="426"/>
      <c r="BH66" s="426"/>
      <c r="BI66" s="426"/>
      <c r="BJ66" s="426"/>
      <c r="BK66" s="426"/>
      <c r="BL66" s="426"/>
      <c r="BM66" s="426"/>
      <c r="BN66" s="426"/>
      <c r="BO66" s="426"/>
      <c r="BP66" s="426"/>
      <c r="BQ66" s="426"/>
      <c r="BR66" s="426"/>
      <c r="BS66" s="426">
        <v>0</v>
      </c>
      <c r="BT66" s="426">
        <v>0</v>
      </c>
      <c r="BU66" s="426"/>
      <c r="BV66" s="426"/>
      <c r="BW66" s="426"/>
      <c r="BX66" s="455"/>
      <c r="BY66" s="455"/>
      <c r="BZ66" s="455"/>
      <c r="CA66" s="455"/>
      <c r="CB66" s="455"/>
      <c r="CC66" s="455"/>
      <c r="CD66" s="455"/>
      <c r="CE66" s="455">
        <f>CC66+CA66+BY66+BW66+BS66+BQ66+BO66+BM66+BK66+BI66+BG66+BU66</f>
        <v>0</v>
      </c>
      <c r="CF66" s="455">
        <f t="shared" ref="CF66:CF71" si="393">+BG66+BI66+BK66+BM66+BO66+BQ66+BS66+BU66+BW66+BY66+CA66+CC66</f>
        <v>0</v>
      </c>
      <c r="CG66" s="455">
        <f t="shared" ref="CG66:CG71" si="394">+BR66+BH66+BJ66+BL66+BN66+BP66+BT66+BV66+BX66+BZ66+CB66+CD66</f>
        <v>0</v>
      </c>
      <c r="CH66" s="455">
        <f>CE66</f>
        <v>0</v>
      </c>
      <c r="CI66" s="455">
        <f t="shared" ref="CI66:CI71" si="395">BJ66+BL66+BN66+BP66+BH66+BR66+BT66+BV66+BX66+BZ66+CB66+CD66</f>
        <v>0</v>
      </c>
      <c r="CJ66" s="426">
        <v>0</v>
      </c>
      <c r="CK66" s="426"/>
      <c r="CL66" s="426"/>
      <c r="CM66" s="426"/>
      <c r="CN66" s="426"/>
      <c r="CO66" s="426"/>
      <c r="CP66" s="426"/>
      <c r="CQ66" s="426"/>
      <c r="CR66" s="426"/>
      <c r="CS66" s="426"/>
      <c r="CT66" s="426"/>
      <c r="CU66" s="426"/>
      <c r="CV66" s="426"/>
      <c r="CW66" s="426"/>
      <c r="CX66" s="426"/>
      <c r="CY66" s="426"/>
      <c r="CZ66" s="426"/>
      <c r="DA66" s="426"/>
      <c r="DB66" s="426"/>
      <c r="DC66" s="426"/>
      <c r="DD66" s="426"/>
      <c r="DE66" s="426"/>
      <c r="DF66" s="426"/>
      <c r="DG66" s="426"/>
      <c r="DH66" s="426"/>
      <c r="DI66" s="426">
        <f t="shared" ref="DI66:DI67" si="396">DG66+DE66+DC66+DA66+CY66+CW66+CU66+CS66+CQ66+CO66+CM66+CK66</f>
        <v>0</v>
      </c>
      <c r="DJ66" s="455">
        <f t="shared" ref="DJ66:DJ71" si="397">CK66+CM66+CO66+CQ66+CS66+CU66</f>
        <v>0</v>
      </c>
      <c r="DK66" s="426">
        <f t="shared" ref="DK66:DK68" si="398">CL66+CN66+CP66+CR66</f>
        <v>0</v>
      </c>
      <c r="DL66" s="456">
        <f t="shared" ref="DL66:DL67" si="399">CM66+CO66+CQ66+CS66+CU66+CW66+CY66+DA66+DC66+DE66+DG66+CK66</f>
        <v>0</v>
      </c>
      <c r="DM66" s="426">
        <f t="shared" ref="DM66:DM68" si="400">CL66+CN66+CP66+CR66</f>
        <v>0</v>
      </c>
      <c r="DN66" s="454">
        <v>0</v>
      </c>
      <c r="DO66" s="454"/>
      <c r="DP66" s="454"/>
      <c r="DQ66" s="454"/>
      <c r="DR66" s="454"/>
      <c r="DS66" s="454"/>
      <c r="DT66" s="454"/>
      <c r="DU66" s="454"/>
      <c r="DV66" s="454"/>
      <c r="DW66" s="454"/>
      <c r="DX66" s="454"/>
      <c r="DY66" s="454"/>
      <c r="DZ66" s="454"/>
      <c r="EA66" s="454"/>
      <c r="EB66" s="454"/>
      <c r="EC66" s="454"/>
      <c r="ED66" s="454"/>
      <c r="EE66" s="454"/>
      <c r="EF66" s="454"/>
      <c r="EG66" s="426"/>
      <c r="EH66" s="426"/>
      <c r="EI66" s="426"/>
      <c r="EJ66" s="426"/>
      <c r="EK66" s="426"/>
      <c r="EL66" s="426"/>
      <c r="EM66" s="426">
        <f t="shared" si="383"/>
        <v>0</v>
      </c>
      <c r="EN66" s="426">
        <f t="shared" ref="EN66:EO66" si="401">DO66+DQ66+DS66+DU66</f>
        <v>0</v>
      </c>
      <c r="EO66" s="426">
        <f t="shared" si="401"/>
        <v>0</v>
      </c>
      <c r="EP66" s="456">
        <f t="shared" ref="EP66:EP67" si="402">DQ66+DS66+DU66+DW66+DY66+EA66+EC66+EE66+EG66+EI66+EK66+DO66</f>
        <v>0</v>
      </c>
      <c r="EQ66" s="426"/>
      <c r="ER66" s="457">
        <f t="shared" si="384"/>
        <v>0</v>
      </c>
      <c r="ES66" s="457">
        <f t="shared" ref="ES66:ES72" si="403">IFERROR(DK66/DJ66,0)</f>
        <v>0</v>
      </c>
      <c r="ET66" s="458">
        <f t="shared" ref="ET66:ET72" si="404">IFERROR(DM66/DL66,0)</f>
        <v>0</v>
      </c>
      <c r="EU66" s="458">
        <f t="shared" si="375"/>
        <v>0.9</v>
      </c>
      <c r="EV66" s="427">
        <f t="shared" si="376"/>
        <v>1</v>
      </c>
      <c r="EW66" s="771" t="s">
        <v>378</v>
      </c>
      <c r="EX66" s="734" t="s">
        <v>178</v>
      </c>
      <c r="EY66" s="734" t="s">
        <v>178</v>
      </c>
      <c r="EZ66" s="734" t="s">
        <v>379</v>
      </c>
      <c r="FA66" s="734" t="s">
        <v>380</v>
      </c>
      <c r="FB66" s="769"/>
      <c r="FC66" s="88"/>
      <c r="FD66" s="88"/>
    </row>
    <row r="67" spans="1:160" ht="30" customHeight="1" x14ac:dyDescent="0.25">
      <c r="A67" s="694"/>
      <c r="B67" s="694"/>
      <c r="C67" s="694"/>
      <c r="D67" s="694"/>
      <c r="E67" s="694"/>
      <c r="F67" s="81" t="s">
        <v>349</v>
      </c>
      <c r="G67" s="410">
        <f t="shared" si="385"/>
        <v>424276000</v>
      </c>
      <c r="H67" s="410">
        <v>334120000</v>
      </c>
      <c r="I67" s="410"/>
      <c r="J67" s="410"/>
      <c r="K67" s="410">
        <v>334120000</v>
      </c>
      <c r="L67" s="410">
        <v>40000000</v>
      </c>
      <c r="M67" s="410">
        <v>400424000</v>
      </c>
      <c r="N67" s="410">
        <v>318184000</v>
      </c>
      <c r="O67" s="410">
        <v>478424000</v>
      </c>
      <c r="P67" s="410">
        <v>318184000</v>
      </c>
      <c r="Q67" s="410">
        <v>491805000</v>
      </c>
      <c r="R67" s="410">
        <v>318184000</v>
      </c>
      <c r="S67" s="410">
        <v>463576000</v>
      </c>
      <c r="T67" s="410">
        <v>318184000</v>
      </c>
      <c r="U67" s="410">
        <v>463576000</v>
      </c>
      <c r="V67" s="410">
        <v>424276000</v>
      </c>
      <c r="W67" s="410">
        <f t="shared" si="386"/>
        <v>334120000</v>
      </c>
      <c r="X67" s="410">
        <f t="shared" si="387"/>
        <v>334120000</v>
      </c>
      <c r="Y67" s="410">
        <f t="shared" si="388"/>
        <v>424276000</v>
      </c>
      <c r="Z67" s="410">
        <f t="shared" ref="Z67:AA67" si="405">+U67</f>
        <v>463576000</v>
      </c>
      <c r="AA67" s="410">
        <f t="shared" si="405"/>
        <v>424276000</v>
      </c>
      <c r="AB67" s="410">
        <v>0</v>
      </c>
      <c r="AC67" s="410">
        <v>0</v>
      </c>
      <c r="AD67" s="410">
        <v>0</v>
      </c>
      <c r="AE67" s="410">
        <v>0</v>
      </c>
      <c r="AF67" s="410">
        <v>0</v>
      </c>
      <c r="AG67" s="410">
        <v>0</v>
      </c>
      <c r="AH67" s="410">
        <v>0</v>
      </c>
      <c r="AI67" s="410">
        <v>0</v>
      </c>
      <c r="AJ67" s="410">
        <v>0</v>
      </c>
      <c r="AK67" s="410">
        <v>0</v>
      </c>
      <c r="AL67" s="410">
        <v>0</v>
      </c>
      <c r="AM67" s="410">
        <v>0</v>
      </c>
      <c r="AN67" s="410">
        <v>0</v>
      </c>
      <c r="AO67" s="410">
        <v>0</v>
      </c>
      <c r="AP67" s="410">
        <v>0</v>
      </c>
      <c r="AQ67" s="410">
        <v>0</v>
      </c>
      <c r="AR67" s="410">
        <v>0</v>
      </c>
      <c r="AS67" s="410">
        <v>0</v>
      </c>
      <c r="AT67" s="410">
        <v>0</v>
      </c>
      <c r="AU67" s="410">
        <v>0</v>
      </c>
      <c r="AV67" s="410">
        <v>0</v>
      </c>
      <c r="AW67" s="410">
        <v>0</v>
      </c>
      <c r="AX67" s="410">
        <v>0</v>
      </c>
      <c r="AY67" s="410">
        <v>0</v>
      </c>
      <c r="AZ67" s="410">
        <v>0</v>
      </c>
      <c r="BA67" s="410">
        <f>AY67+AW67+AU67+AS67+AQ67+AO67+AM67+AK67+AI67+AG67+AE67+AC67</f>
        <v>0</v>
      </c>
      <c r="BB67" s="410">
        <f t="shared" si="390"/>
        <v>0</v>
      </c>
      <c r="BC67" s="410">
        <f t="shared" si="391"/>
        <v>0</v>
      </c>
      <c r="BD67" s="410">
        <f t="shared" ref="BD67:BD69" si="406">AC67+AE67+AG67+AI67+AK67+AM67+AO67+AQ67+AS67+AU67+AW67+AY67</f>
        <v>0</v>
      </c>
      <c r="BE67" s="410">
        <f t="shared" si="392"/>
        <v>0</v>
      </c>
      <c r="BF67" s="410">
        <v>0</v>
      </c>
      <c r="BG67" s="410"/>
      <c r="BH67" s="410"/>
      <c r="BI67" s="410"/>
      <c r="BJ67" s="410"/>
      <c r="BK67" s="410"/>
      <c r="BL67" s="410"/>
      <c r="BM67" s="410"/>
      <c r="BN67" s="410"/>
      <c r="BO67" s="410"/>
      <c r="BP67" s="410"/>
      <c r="BQ67" s="410"/>
      <c r="BR67" s="410"/>
      <c r="BS67" s="410">
        <v>0</v>
      </c>
      <c r="BT67" s="410">
        <v>0</v>
      </c>
      <c r="BU67" s="410"/>
      <c r="BV67" s="410"/>
      <c r="BW67" s="410"/>
      <c r="BX67" s="410"/>
      <c r="BY67" s="410"/>
      <c r="BZ67" s="410"/>
      <c r="CA67" s="410"/>
      <c r="CB67" s="410"/>
      <c r="CC67" s="410"/>
      <c r="CD67" s="410"/>
      <c r="CE67" s="410">
        <f>CC67+CA67+BY67+BW67+BU67+BS67+BQ67+BO67+BM67+BK67+BI67+BG67</f>
        <v>0</v>
      </c>
      <c r="CF67" s="410">
        <f t="shared" si="393"/>
        <v>0</v>
      </c>
      <c r="CG67" s="410">
        <f t="shared" si="394"/>
        <v>0</v>
      </c>
      <c r="CH67" s="410">
        <f t="shared" ref="CH67:CH69" si="407">BG67+BI67+BK67+BM67+BO67+BQ67+BS67+BU67+BW67+BY67+CA67+CC67</f>
        <v>0</v>
      </c>
      <c r="CI67" s="410">
        <f t="shared" si="395"/>
        <v>0</v>
      </c>
      <c r="CJ67" s="410">
        <v>0</v>
      </c>
      <c r="CK67" s="410"/>
      <c r="CL67" s="410"/>
      <c r="CM67" s="410"/>
      <c r="CN67" s="410"/>
      <c r="CO67" s="410"/>
      <c r="CP67" s="410"/>
      <c r="CQ67" s="410"/>
      <c r="CR67" s="410"/>
      <c r="CS67" s="410"/>
      <c r="CT67" s="410"/>
      <c r="CU67" s="410"/>
      <c r="CV67" s="410"/>
      <c r="CW67" s="410"/>
      <c r="CX67" s="410"/>
      <c r="CY67" s="410"/>
      <c r="CZ67" s="410"/>
      <c r="DA67" s="410"/>
      <c r="DB67" s="410"/>
      <c r="DC67" s="410"/>
      <c r="DD67" s="410"/>
      <c r="DE67" s="410"/>
      <c r="DF67" s="410"/>
      <c r="DG67" s="410"/>
      <c r="DH67" s="410"/>
      <c r="DI67" s="410">
        <f t="shared" si="396"/>
        <v>0</v>
      </c>
      <c r="DJ67" s="406">
        <f t="shared" si="397"/>
        <v>0</v>
      </c>
      <c r="DK67" s="410">
        <f t="shared" si="398"/>
        <v>0</v>
      </c>
      <c r="DL67" s="410">
        <f t="shared" si="399"/>
        <v>0</v>
      </c>
      <c r="DM67" s="410">
        <f t="shared" si="400"/>
        <v>0</v>
      </c>
      <c r="DN67" s="410">
        <v>0</v>
      </c>
      <c r="DO67" s="413"/>
      <c r="DP67" s="413"/>
      <c r="DQ67" s="413"/>
      <c r="DR67" s="413"/>
      <c r="DS67" s="413"/>
      <c r="DT67" s="413"/>
      <c r="DU67" s="413"/>
      <c r="DV67" s="413"/>
      <c r="DW67" s="413"/>
      <c r="DX67" s="413"/>
      <c r="DY67" s="413"/>
      <c r="DZ67" s="413"/>
      <c r="EA67" s="413"/>
      <c r="EB67" s="413"/>
      <c r="EC67" s="413"/>
      <c r="ED67" s="413"/>
      <c r="EE67" s="413"/>
      <c r="EF67" s="413"/>
      <c r="EG67" s="413"/>
      <c r="EH67" s="413"/>
      <c r="EI67" s="413"/>
      <c r="EJ67" s="413"/>
      <c r="EK67" s="413"/>
      <c r="EL67" s="413"/>
      <c r="EM67" s="402">
        <f t="shared" si="383"/>
        <v>0</v>
      </c>
      <c r="EN67" s="413">
        <f t="shared" ref="EN67:EO67" si="408">DO67+DQ67+DS67+DU67</f>
        <v>0</v>
      </c>
      <c r="EO67" s="413">
        <f t="shared" si="408"/>
        <v>0</v>
      </c>
      <c r="EP67" s="410">
        <f t="shared" si="402"/>
        <v>0</v>
      </c>
      <c r="EQ67" s="413"/>
      <c r="ER67" s="407">
        <f t="shared" si="384"/>
        <v>0</v>
      </c>
      <c r="ES67" s="407">
        <f t="shared" si="403"/>
        <v>0</v>
      </c>
      <c r="ET67" s="408">
        <f t="shared" si="404"/>
        <v>0</v>
      </c>
      <c r="EU67" s="408">
        <f t="shared" si="375"/>
        <v>0.91522425664831653</v>
      </c>
      <c r="EV67" s="409">
        <f t="shared" si="376"/>
        <v>1</v>
      </c>
      <c r="EW67" s="735"/>
      <c r="EX67" s="735"/>
      <c r="EY67" s="735"/>
      <c r="EZ67" s="735"/>
      <c r="FA67" s="735"/>
      <c r="FB67" s="770"/>
      <c r="FC67" s="96"/>
      <c r="FD67" s="96"/>
    </row>
    <row r="68" spans="1:160" ht="30" customHeight="1" x14ac:dyDescent="0.25">
      <c r="A68" s="694"/>
      <c r="B68" s="694"/>
      <c r="C68" s="694"/>
      <c r="D68" s="694"/>
      <c r="E68" s="694"/>
      <c r="F68" s="83" t="s">
        <v>350</v>
      </c>
      <c r="G68" s="410"/>
      <c r="H68" s="410"/>
      <c r="I68" s="410"/>
      <c r="J68" s="410"/>
      <c r="K68" s="410"/>
      <c r="L68" s="410"/>
      <c r="M68" s="410"/>
      <c r="N68" s="410"/>
      <c r="O68" s="410"/>
      <c r="P68" s="410"/>
      <c r="Q68" s="410"/>
      <c r="R68" s="410"/>
      <c r="S68" s="410"/>
      <c r="T68" s="410"/>
      <c r="U68" s="410"/>
      <c r="V68" s="410"/>
      <c r="W68" s="410">
        <f t="shared" si="386"/>
        <v>0</v>
      </c>
      <c r="X68" s="410">
        <f t="shared" si="387"/>
        <v>0</v>
      </c>
      <c r="Y68" s="410">
        <f t="shared" si="388"/>
        <v>0</v>
      </c>
      <c r="Z68" s="410">
        <f t="shared" ref="Z68:AA68" si="409">+U68</f>
        <v>0</v>
      </c>
      <c r="AA68" s="410">
        <f t="shared" si="409"/>
        <v>0</v>
      </c>
      <c r="AB68" s="410"/>
      <c r="AC68" s="410"/>
      <c r="AD68" s="410"/>
      <c r="AE68" s="410"/>
      <c r="AF68" s="410"/>
      <c r="AG68" s="410"/>
      <c r="AH68" s="410"/>
      <c r="AI68" s="410"/>
      <c r="AJ68" s="410"/>
      <c r="AK68" s="410"/>
      <c r="AL68" s="410"/>
      <c r="AM68" s="410"/>
      <c r="AN68" s="410"/>
      <c r="AO68" s="410"/>
      <c r="AP68" s="410"/>
      <c r="AQ68" s="410"/>
      <c r="AR68" s="410"/>
      <c r="AS68" s="410"/>
      <c r="AT68" s="410"/>
      <c r="AU68" s="410"/>
      <c r="AV68" s="410"/>
      <c r="AW68" s="410"/>
      <c r="AX68" s="410"/>
      <c r="AY68" s="410"/>
      <c r="AZ68" s="410"/>
      <c r="BA68" s="410">
        <f t="shared" ref="BA68:BA70" si="410">AW68+AU68+AS68+AQ68+AO68+AM68+AK68+AI68+AG68+AE68+AC68+AY68</f>
        <v>0</v>
      </c>
      <c r="BB68" s="410">
        <f t="shared" si="390"/>
        <v>0</v>
      </c>
      <c r="BC68" s="410">
        <f t="shared" si="391"/>
        <v>0</v>
      </c>
      <c r="BD68" s="410">
        <f t="shared" si="406"/>
        <v>0</v>
      </c>
      <c r="BE68" s="410">
        <f t="shared" si="392"/>
        <v>0</v>
      </c>
      <c r="BF68" s="410"/>
      <c r="BG68" s="410"/>
      <c r="BH68" s="410"/>
      <c r="BI68" s="410"/>
      <c r="BJ68" s="410"/>
      <c r="BK68" s="410"/>
      <c r="BL68" s="410"/>
      <c r="BM68" s="410"/>
      <c r="BN68" s="410"/>
      <c r="BO68" s="410"/>
      <c r="BP68" s="410"/>
      <c r="BQ68" s="410"/>
      <c r="BR68" s="410"/>
      <c r="BS68" s="410"/>
      <c r="BT68" s="410"/>
      <c r="BU68" s="410"/>
      <c r="BV68" s="410"/>
      <c r="BW68" s="410"/>
      <c r="BX68" s="410"/>
      <c r="BY68" s="410"/>
      <c r="BZ68" s="410"/>
      <c r="CA68" s="410"/>
      <c r="CB68" s="410"/>
      <c r="CC68" s="410"/>
      <c r="CD68" s="410"/>
      <c r="CE68" s="410">
        <f t="shared" ref="CE68:CE70" si="411">CA68+BY68+BW68+BU68+BS68+BQ68+BO68+BM68+BK68+BI68+BG68+CC68</f>
        <v>0</v>
      </c>
      <c r="CF68" s="410">
        <f t="shared" si="393"/>
        <v>0</v>
      </c>
      <c r="CG68" s="410">
        <f t="shared" si="394"/>
        <v>0</v>
      </c>
      <c r="CH68" s="410">
        <f t="shared" si="407"/>
        <v>0</v>
      </c>
      <c r="CI68" s="410">
        <f t="shared" si="395"/>
        <v>0</v>
      </c>
      <c r="CJ68" s="410"/>
      <c r="CK68" s="410"/>
      <c r="CL68" s="410"/>
      <c r="CM68" s="410"/>
      <c r="CN68" s="410"/>
      <c r="CO68" s="410"/>
      <c r="CP68" s="410"/>
      <c r="CQ68" s="410"/>
      <c r="CR68" s="410"/>
      <c r="CS68" s="410"/>
      <c r="CT68" s="410"/>
      <c r="CU68" s="410"/>
      <c r="CV68" s="410"/>
      <c r="CW68" s="410"/>
      <c r="CX68" s="410"/>
      <c r="CY68" s="410"/>
      <c r="CZ68" s="410"/>
      <c r="DA68" s="410"/>
      <c r="DB68" s="410"/>
      <c r="DC68" s="410"/>
      <c r="DD68" s="410"/>
      <c r="DE68" s="410"/>
      <c r="DF68" s="410"/>
      <c r="DG68" s="410"/>
      <c r="DH68" s="410"/>
      <c r="DI68" s="410">
        <f t="shared" ref="DI68:DI71" si="412">DE68+DC68+DA68+CY68+CW68+CU68+CS68+CQ68+CO68+CM68+CK68+DG68</f>
        <v>0</v>
      </c>
      <c r="DJ68" s="406">
        <f t="shared" si="397"/>
        <v>0</v>
      </c>
      <c r="DK68" s="410">
        <f t="shared" si="398"/>
        <v>0</v>
      </c>
      <c r="DL68" s="410">
        <f>CM68+CO68+CQ68+CS68+CU68+CW68+CY68+DA68+DC68+DE68+DG68</f>
        <v>0</v>
      </c>
      <c r="DM68" s="410">
        <f t="shared" si="400"/>
        <v>0</v>
      </c>
      <c r="DN68" s="410"/>
      <c r="DO68" s="413"/>
      <c r="DP68" s="413"/>
      <c r="DQ68" s="413"/>
      <c r="DR68" s="413"/>
      <c r="DS68" s="413"/>
      <c r="DT68" s="413"/>
      <c r="DU68" s="413"/>
      <c r="DV68" s="413"/>
      <c r="DW68" s="413"/>
      <c r="DX68" s="413"/>
      <c r="DY68" s="413"/>
      <c r="DZ68" s="413"/>
      <c r="EA68" s="413"/>
      <c r="EB68" s="413"/>
      <c r="EC68" s="413"/>
      <c r="ED68" s="413"/>
      <c r="EE68" s="413"/>
      <c r="EF68" s="413"/>
      <c r="EG68" s="413"/>
      <c r="EH68" s="413"/>
      <c r="EI68" s="413"/>
      <c r="EJ68" s="413"/>
      <c r="EK68" s="413"/>
      <c r="EL68" s="413"/>
      <c r="EM68" s="402">
        <f t="shared" ref="EM68:EM71" si="413">EI68+EG68+EE68+EC68+EA68+DY68+DW68+DU68+DS68+DQ68+DO68+EK68</f>
        <v>0</v>
      </c>
      <c r="EN68" s="413">
        <f t="shared" ref="EN68:EO68" si="414">DO68+DQ68+DS68+DU68</f>
        <v>0</v>
      </c>
      <c r="EO68" s="413">
        <f t="shared" si="414"/>
        <v>0</v>
      </c>
      <c r="EP68" s="412">
        <f t="shared" ref="EP68:EP69" si="415">DQ68+DS68+DU68+DW68+DY68+EA68+EC68+EE68+EG68+EI68+EK68</f>
        <v>0</v>
      </c>
      <c r="EQ68" s="413"/>
      <c r="ER68" s="407">
        <f t="shared" si="384"/>
        <v>0</v>
      </c>
      <c r="ES68" s="407">
        <f t="shared" si="403"/>
        <v>0</v>
      </c>
      <c r="ET68" s="408">
        <f t="shared" si="404"/>
        <v>0</v>
      </c>
      <c r="EU68" s="408">
        <f>IFERROR((AA68+BE68+CI68+DK68)/(Z68+BD68+CH68+DJ68),0)</f>
        <v>0</v>
      </c>
      <c r="EV68" s="409">
        <f t="shared" ref="EV68:EV69" si="416">IFERROR((AA68+BE68+CI68+DM68)/G68,0)</f>
        <v>0</v>
      </c>
      <c r="EW68" s="735"/>
      <c r="EX68" s="735"/>
      <c r="EY68" s="735"/>
      <c r="EZ68" s="735"/>
      <c r="FA68" s="735"/>
      <c r="FB68" s="770"/>
      <c r="FC68" s="96"/>
      <c r="FD68" s="96"/>
    </row>
    <row r="69" spans="1:160" ht="30" customHeight="1" x14ac:dyDescent="0.25">
      <c r="A69" s="694"/>
      <c r="B69" s="694"/>
      <c r="C69" s="694"/>
      <c r="D69" s="694"/>
      <c r="E69" s="694"/>
      <c r="F69" s="84" t="s">
        <v>351</v>
      </c>
      <c r="G69" s="374"/>
      <c r="H69" s="442"/>
      <c r="I69" s="374"/>
      <c r="J69" s="374"/>
      <c r="K69" s="374"/>
      <c r="L69" s="374"/>
      <c r="M69" s="374"/>
      <c r="N69" s="374"/>
      <c r="O69" s="374"/>
      <c r="P69" s="374"/>
      <c r="Q69" s="374"/>
      <c r="R69" s="374"/>
      <c r="S69" s="374"/>
      <c r="T69" s="374"/>
      <c r="U69" s="374"/>
      <c r="V69" s="374"/>
      <c r="W69" s="406">
        <f t="shared" si="386"/>
        <v>0</v>
      </c>
      <c r="X69" s="406">
        <f t="shared" si="387"/>
        <v>0</v>
      </c>
      <c r="Y69" s="406">
        <f t="shared" si="388"/>
        <v>0</v>
      </c>
      <c r="Z69" s="406">
        <f t="shared" ref="Z69:AA69" si="417">+U69</f>
        <v>0</v>
      </c>
      <c r="AA69" s="406">
        <f t="shared" si="417"/>
        <v>0</v>
      </c>
      <c r="AB69" s="374">
        <v>0.1</v>
      </c>
      <c r="AC69" s="374">
        <v>0.05</v>
      </c>
      <c r="AD69" s="374">
        <v>0.05</v>
      </c>
      <c r="AE69" s="374">
        <v>0.05</v>
      </c>
      <c r="AF69" s="374">
        <v>0.05</v>
      </c>
      <c r="AG69" s="374">
        <v>0</v>
      </c>
      <c r="AH69" s="374">
        <v>0</v>
      </c>
      <c r="AI69" s="374">
        <v>0</v>
      </c>
      <c r="AJ69" s="374">
        <v>0</v>
      </c>
      <c r="AK69" s="416">
        <v>0</v>
      </c>
      <c r="AL69" s="416">
        <v>0</v>
      </c>
      <c r="AM69" s="416">
        <v>0</v>
      </c>
      <c r="AN69" s="416">
        <v>0</v>
      </c>
      <c r="AO69" s="416">
        <v>0</v>
      </c>
      <c r="AP69" s="416">
        <v>0</v>
      </c>
      <c r="AQ69" s="416">
        <v>0</v>
      </c>
      <c r="AR69" s="416">
        <v>0</v>
      </c>
      <c r="AS69" s="416">
        <v>0</v>
      </c>
      <c r="AT69" s="416">
        <v>0</v>
      </c>
      <c r="AU69" s="416">
        <v>0</v>
      </c>
      <c r="AV69" s="416">
        <v>0</v>
      </c>
      <c r="AW69" s="416">
        <v>0</v>
      </c>
      <c r="AX69" s="416">
        <v>0</v>
      </c>
      <c r="AY69" s="416">
        <v>0</v>
      </c>
      <c r="AZ69" s="416">
        <v>0</v>
      </c>
      <c r="BA69" s="406">
        <f t="shared" si="410"/>
        <v>0.1</v>
      </c>
      <c r="BB69" s="406">
        <f t="shared" si="390"/>
        <v>0.1</v>
      </c>
      <c r="BC69" s="406">
        <f t="shared" si="391"/>
        <v>0.1</v>
      </c>
      <c r="BD69" s="406">
        <f t="shared" si="406"/>
        <v>0.1</v>
      </c>
      <c r="BE69" s="406">
        <f t="shared" si="392"/>
        <v>0.1</v>
      </c>
      <c r="BF69" s="416"/>
      <c r="BG69" s="416"/>
      <c r="BH69" s="416"/>
      <c r="BI69" s="416"/>
      <c r="BJ69" s="416"/>
      <c r="BK69" s="416"/>
      <c r="BL69" s="416"/>
      <c r="BM69" s="416"/>
      <c r="BN69" s="416"/>
      <c r="BO69" s="416"/>
      <c r="BP69" s="416"/>
      <c r="BQ69" s="416"/>
      <c r="BR69" s="416"/>
      <c r="BS69" s="416"/>
      <c r="BT69" s="416"/>
      <c r="BU69" s="416"/>
      <c r="BV69" s="416"/>
      <c r="BW69" s="416"/>
      <c r="BX69" s="406"/>
      <c r="BY69" s="406"/>
      <c r="BZ69" s="406"/>
      <c r="CA69" s="406"/>
      <c r="CB69" s="406"/>
      <c r="CC69" s="406"/>
      <c r="CD69" s="406"/>
      <c r="CE69" s="406">
        <f t="shared" si="411"/>
        <v>0</v>
      </c>
      <c r="CF69" s="406">
        <f t="shared" si="393"/>
        <v>0</v>
      </c>
      <c r="CG69" s="406">
        <f t="shared" si="394"/>
        <v>0</v>
      </c>
      <c r="CH69" s="406">
        <f t="shared" si="407"/>
        <v>0</v>
      </c>
      <c r="CI69" s="406">
        <f t="shared" si="395"/>
        <v>0</v>
      </c>
      <c r="CJ69" s="416"/>
      <c r="CK69" s="416"/>
      <c r="CL69" s="416"/>
      <c r="CM69" s="416"/>
      <c r="CN69" s="416"/>
      <c r="CO69" s="416"/>
      <c r="CP69" s="416"/>
      <c r="CQ69" s="416"/>
      <c r="CR69" s="416"/>
      <c r="CS69" s="416"/>
      <c r="CT69" s="416"/>
      <c r="CU69" s="416"/>
      <c r="CV69" s="416"/>
      <c r="CW69" s="416"/>
      <c r="CX69" s="416"/>
      <c r="CY69" s="416"/>
      <c r="CZ69" s="416"/>
      <c r="DA69" s="416"/>
      <c r="DB69" s="416"/>
      <c r="DC69" s="416"/>
      <c r="DD69" s="416"/>
      <c r="DE69" s="416"/>
      <c r="DF69" s="416"/>
      <c r="DG69" s="416"/>
      <c r="DH69" s="416"/>
      <c r="DI69" s="405">
        <f t="shared" si="412"/>
        <v>0</v>
      </c>
      <c r="DJ69" s="406">
        <f t="shared" si="397"/>
        <v>0</v>
      </c>
      <c r="DK69" s="402">
        <f t="shared" ref="DK69:DM69" si="418">DG69+DE69+DC69+DA69+CY69+CW69+CU69+CS69+CQ69+CO69+CM69+DI69</f>
        <v>0</v>
      </c>
      <c r="DL69" s="402">
        <f t="shared" si="418"/>
        <v>0</v>
      </c>
      <c r="DM69" s="402">
        <f t="shared" si="418"/>
        <v>0</v>
      </c>
      <c r="DN69" s="416"/>
      <c r="DO69" s="416"/>
      <c r="DP69" s="416"/>
      <c r="DQ69" s="416"/>
      <c r="DR69" s="416"/>
      <c r="DS69" s="416"/>
      <c r="DT69" s="416"/>
      <c r="DU69" s="416"/>
      <c r="DV69" s="416"/>
      <c r="DW69" s="416"/>
      <c r="DX69" s="416"/>
      <c r="DY69" s="416"/>
      <c r="DZ69" s="416"/>
      <c r="EA69" s="416"/>
      <c r="EB69" s="416"/>
      <c r="EC69" s="416"/>
      <c r="ED69" s="416"/>
      <c r="EE69" s="416"/>
      <c r="EF69" s="416"/>
      <c r="EG69" s="416"/>
      <c r="EH69" s="416"/>
      <c r="EI69" s="416"/>
      <c r="EJ69" s="416"/>
      <c r="EK69" s="416"/>
      <c r="EL69" s="416"/>
      <c r="EM69" s="405">
        <f t="shared" si="413"/>
        <v>0</v>
      </c>
      <c r="EN69" s="429">
        <f t="shared" ref="EN69:EO69" si="419">DO69+DQ69+DS69+DU69</f>
        <v>0</v>
      </c>
      <c r="EO69" s="429">
        <f t="shared" si="419"/>
        <v>0</v>
      </c>
      <c r="EP69" s="430">
        <f t="shared" si="415"/>
        <v>0</v>
      </c>
      <c r="EQ69" s="405"/>
      <c r="ER69" s="407">
        <f t="shared" si="384"/>
        <v>0</v>
      </c>
      <c r="ES69" s="407">
        <f t="shared" si="403"/>
        <v>0</v>
      </c>
      <c r="ET69" s="408">
        <f t="shared" si="404"/>
        <v>0</v>
      </c>
      <c r="EU69" s="408">
        <f t="shared" ref="EU69:EU75" si="420">(AA69+BE69+CI69+DK69)/(Z69+BD69+CH69+DJ69)</f>
        <v>1</v>
      </c>
      <c r="EV69" s="409">
        <f t="shared" si="416"/>
        <v>0</v>
      </c>
      <c r="EW69" s="735"/>
      <c r="EX69" s="735"/>
      <c r="EY69" s="735"/>
      <c r="EZ69" s="735"/>
      <c r="FA69" s="735"/>
      <c r="FB69" s="770"/>
      <c r="FC69" s="88"/>
      <c r="FD69" s="88"/>
    </row>
    <row r="70" spans="1:160" ht="30" customHeight="1" x14ac:dyDescent="0.25">
      <c r="A70" s="694"/>
      <c r="B70" s="694"/>
      <c r="C70" s="694"/>
      <c r="D70" s="694"/>
      <c r="E70" s="694"/>
      <c r="F70" s="85" t="s">
        <v>352</v>
      </c>
      <c r="G70" s="410">
        <f>AA70+BE70+CI70+DL70+DN70</f>
        <v>160059853</v>
      </c>
      <c r="H70" s="410"/>
      <c r="I70" s="410"/>
      <c r="J70" s="410"/>
      <c r="K70" s="410"/>
      <c r="L70" s="410"/>
      <c r="M70" s="410"/>
      <c r="N70" s="410"/>
      <c r="O70" s="410"/>
      <c r="P70" s="410"/>
      <c r="Q70" s="410"/>
      <c r="R70" s="410"/>
      <c r="S70" s="410"/>
      <c r="T70" s="410"/>
      <c r="U70" s="410"/>
      <c r="V70" s="410"/>
      <c r="W70" s="410">
        <f t="shared" si="386"/>
        <v>0</v>
      </c>
      <c r="X70" s="410">
        <f t="shared" si="387"/>
        <v>0</v>
      </c>
      <c r="Y70" s="410">
        <f t="shared" si="388"/>
        <v>0</v>
      </c>
      <c r="Z70" s="410">
        <f t="shared" ref="Z70:AA70" si="421">+U70</f>
        <v>0</v>
      </c>
      <c r="AA70" s="410">
        <f t="shared" si="421"/>
        <v>0</v>
      </c>
      <c r="AB70" s="410">
        <v>160059853</v>
      </c>
      <c r="AC70" s="410">
        <v>33914000</v>
      </c>
      <c r="AD70" s="410">
        <v>33914000</v>
      </c>
      <c r="AE70" s="410">
        <f>97735000-AD70</f>
        <v>63821000</v>
      </c>
      <c r="AF70" s="410">
        <v>63821000</v>
      </c>
      <c r="AG70" s="410">
        <f>126122834-AD70-AF70</f>
        <v>28387834</v>
      </c>
      <c r="AH70" s="410">
        <v>28387834</v>
      </c>
      <c r="AI70" s="410">
        <v>0</v>
      </c>
      <c r="AJ70" s="410">
        <v>0</v>
      </c>
      <c r="AK70" s="410">
        <f>157987834-AD70-AF70-AH70-AJ70</f>
        <v>31865000</v>
      </c>
      <c r="AL70" s="410">
        <v>31865000</v>
      </c>
      <c r="AM70" s="410">
        <v>2072019</v>
      </c>
      <c r="AN70" s="410">
        <v>2072019</v>
      </c>
      <c r="AO70" s="410">
        <v>0</v>
      </c>
      <c r="AP70" s="410">
        <v>0</v>
      </c>
      <c r="AQ70" s="410"/>
      <c r="AR70" s="410"/>
      <c r="AS70" s="410"/>
      <c r="AT70" s="410">
        <v>0</v>
      </c>
      <c r="AU70" s="410"/>
      <c r="AV70" s="410">
        <v>0</v>
      </c>
      <c r="AW70" s="410"/>
      <c r="AX70" s="410"/>
      <c r="AY70" s="410"/>
      <c r="AZ70" s="410">
        <v>0</v>
      </c>
      <c r="BA70" s="410">
        <f t="shared" si="410"/>
        <v>160059853</v>
      </c>
      <c r="BB70" s="410">
        <f t="shared" si="390"/>
        <v>160059853</v>
      </c>
      <c r="BC70" s="410">
        <f t="shared" si="391"/>
        <v>160059853</v>
      </c>
      <c r="BD70" s="410">
        <f>BA70</f>
        <v>160059853</v>
      </c>
      <c r="BE70" s="410">
        <f t="shared" si="392"/>
        <v>160059853</v>
      </c>
      <c r="BF70" s="410">
        <v>0</v>
      </c>
      <c r="BG70" s="410"/>
      <c r="BH70" s="410"/>
      <c r="BI70" s="410"/>
      <c r="BJ70" s="410"/>
      <c r="BK70" s="410"/>
      <c r="BL70" s="410"/>
      <c r="BM70" s="410"/>
      <c r="BN70" s="410"/>
      <c r="BO70" s="410"/>
      <c r="BP70" s="410"/>
      <c r="BQ70" s="410"/>
      <c r="BR70" s="410"/>
      <c r="BS70" s="410">
        <v>0</v>
      </c>
      <c r="BT70" s="410">
        <v>0</v>
      </c>
      <c r="BU70" s="410"/>
      <c r="BV70" s="410"/>
      <c r="BW70" s="410"/>
      <c r="BX70" s="410"/>
      <c r="BY70" s="410"/>
      <c r="BZ70" s="410"/>
      <c r="CA70" s="410"/>
      <c r="CB70" s="410"/>
      <c r="CC70" s="410"/>
      <c r="CD70" s="410"/>
      <c r="CE70" s="410">
        <f t="shared" si="411"/>
        <v>0</v>
      </c>
      <c r="CF70" s="410">
        <f t="shared" si="393"/>
        <v>0</v>
      </c>
      <c r="CG70" s="410">
        <f t="shared" si="394"/>
        <v>0</v>
      </c>
      <c r="CH70" s="410">
        <f>CE70</f>
        <v>0</v>
      </c>
      <c r="CI70" s="410">
        <f t="shared" si="395"/>
        <v>0</v>
      </c>
      <c r="CJ70" s="410"/>
      <c r="CK70" s="410"/>
      <c r="CL70" s="410"/>
      <c r="CM70" s="410"/>
      <c r="CN70" s="410"/>
      <c r="CO70" s="410"/>
      <c r="CP70" s="410"/>
      <c r="CQ70" s="410"/>
      <c r="CR70" s="410"/>
      <c r="CS70" s="410"/>
      <c r="CT70" s="410"/>
      <c r="CU70" s="410"/>
      <c r="CV70" s="410"/>
      <c r="CW70" s="410"/>
      <c r="CX70" s="410"/>
      <c r="CY70" s="410"/>
      <c r="CZ70" s="410"/>
      <c r="DA70" s="410"/>
      <c r="DB70" s="410"/>
      <c r="DC70" s="410"/>
      <c r="DD70" s="410"/>
      <c r="DE70" s="410"/>
      <c r="DF70" s="410"/>
      <c r="DG70" s="410"/>
      <c r="DH70" s="410"/>
      <c r="DI70" s="402">
        <f t="shared" si="412"/>
        <v>0</v>
      </c>
      <c r="DJ70" s="406">
        <f t="shared" si="397"/>
        <v>0</v>
      </c>
      <c r="DK70" s="402">
        <f t="shared" ref="DK70:DM70" si="422">DG70+DE70+DC70+DA70+CY70+CW70+CU70+CS70+CQ70+CO70+CM70+DI70</f>
        <v>0</v>
      </c>
      <c r="DL70" s="402">
        <f t="shared" si="422"/>
        <v>0</v>
      </c>
      <c r="DM70" s="402">
        <f t="shared" si="422"/>
        <v>0</v>
      </c>
      <c r="DN70" s="410"/>
      <c r="DO70" s="411"/>
      <c r="DP70" s="411"/>
      <c r="DQ70" s="411"/>
      <c r="DR70" s="411"/>
      <c r="DS70" s="411"/>
      <c r="DT70" s="411"/>
      <c r="DU70" s="411"/>
      <c r="DV70" s="411"/>
      <c r="DW70" s="411"/>
      <c r="DX70" s="411"/>
      <c r="DY70" s="411"/>
      <c r="DZ70" s="411"/>
      <c r="EA70" s="411"/>
      <c r="EB70" s="411"/>
      <c r="EC70" s="411"/>
      <c r="ED70" s="411"/>
      <c r="EE70" s="411"/>
      <c r="EF70" s="411"/>
      <c r="EG70" s="411"/>
      <c r="EH70" s="411"/>
      <c r="EI70" s="411"/>
      <c r="EJ70" s="411"/>
      <c r="EK70" s="411"/>
      <c r="EL70" s="411"/>
      <c r="EM70" s="405">
        <f t="shared" si="413"/>
        <v>0</v>
      </c>
      <c r="EN70" s="413">
        <f t="shared" ref="EN70:EO70" si="423">DO70+DQ70+DS70+DU70</f>
        <v>0</v>
      </c>
      <c r="EO70" s="413">
        <f t="shared" si="423"/>
        <v>0</v>
      </c>
      <c r="EP70" s="412">
        <f t="shared" ref="EP70:EP71" si="424">DQ70+DS70+DU70+DW70+DY70+EA70+EC70+EE70+EG70+EI70+EK70+DO70</f>
        <v>0</v>
      </c>
      <c r="EQ70" s="413"/>
      <c r="ER70" s="407">
        <f t="shared" si="384"/>
        <v>0</v>
      </c>
      <c r="ES70" s="407">
        <f t="shared" si="403"/>
        <v>0</v>
      </c>
      <c r="ET70" s="408">
        <f t="shared" si="404"/>
        <v>0</v>
      </c>
      <c r="EU70" s="408">
        <f t="shared" si="420"/>
        <v>1</v>
      </c>
      <c r="EV70" s="409">
        <f t="shared" ref="EV70:EV74" si="425">(AA70+BE70+CI70+DM70)/G70</f>
        <v>1</v>
      </c>
      <c r="EW70" s="735"/>
      <c r="EX70" s="735"/>
      <c r="EY70" s="735"/>
      <c r="EZ70" s="735"/>
      <c r="FA70" s="735"/>
      <c r="FB70" s="770"/>
      <c r="FC70" s="88"/>
      <c r="FD70" s="88"/>
    </row>
    <row r="71" spans="1:160" ht="30" customHeight="1" thickBot="1" x14ac:dyDescent="0.3">
      <c r="A71" s="694"/>
      <c r="B71" s="694"/>
      <c r="C71" s="694"/>
      <c r="D71" s="694"/>
      <c r="E71" s="694"/>
      <c r="F71" s="84" t="s">
        <v>353</v>
      </c>
      <c r="G71" s="447">
        <f t="shared" ref="G71:G72" si="426">G66+G69</f>
        <v>0.9</v>
      </c>
      <c r="H71" s="467">
        <v>1</v>
      </c>
      <c r="I71" s="468"/>
      <c r="J71" s="468"/>
      <c r="K71" s="468">
        <v>1</v>
      </c>
      <c r="L71" s="468">
        <v>0</v>
      </c>
      <c r="M71" s="468">
        <v>1</v>
      </c>
      <c r="N71" s="469">
        <v>0</v>
      </c>
      <c r="O71" s="468">
        <v>1</v>
      </c>
      <c r="P71" s="469">
        <v>0</v>
      </c>
      <c r="Q71" s="468">
        <v>1</v>
      </c>
      <c r="R71" s="470">
        <v>0.5</v>
      </c>
      <c r="S71" s="468">
        <v>1</v>
      </c>
      <c r="T71" s="449">
        <v>0.7</v>
      </c>
      <c r="U71" s="447">
        <v>1</v>
      </c>
      <c r="V71" s="447">
        <v>0.9</v>
      </c>
      <c r="W71" s="450">
        <f t="shared" si="386"/>
        <v>1</v>
      </c>
      <c r="X71" s="450">
        <f t="shared" si="387"/>
        <v>1</v>
      </c>
      <c r="Y71" s="450">
        <f t="shared" si="388"/>
        <v>0.9</v>
      </c>
      <c r="Z71" s="450">
        <f t="shared" ref="Z71:AA71" si="427">+U71</f>
        <v>1</v>
      </c>
      <c r="AA71" s="450">
        <f t="shared" si="427"/>
        <v>0.9</v>
      </c>
      <c r="AB71" s="449">
        <v>0.1</v>
      </c>
      <c r="AC71" s="485">
        <v>0.05</v>
      </c>
      <c r="AD71" s="485">
        <v>0.05</v>
      </c>
      <c r="AE71" s="485">
        <v>0.1</v>
      </c>
      <c r="AF71" s="485">
        <v>0.1</v>
      </c>
      <c r="AG71" s="485">
        <v>0</v>
      </c>
      <c r="AH71" s="485">
        <v>0</v>
      </c>
      <c r="AI71" s="485">
        <v>0</v>
      </c>
      <c r="AJ71" s="485">
        <v>0</v>
      </c>
      <c r="AK71" s="449">
        <v>0</v>
      </c>
      <c r="AL71" s="449">
        <v>0</v>
      </c>
      <c r="AM71" s="449"/>
      <c r="AN71" s="449"/>
      <c r="AO71" s="449">
        <v>0</v>
      </c>
      <c r="AP71" s="449">
        <v>0</v>
      </c>
      <c r="AQ71" s="449"/>
      <c r="AR71" s="449"/>
      <c r="AS71" s="449"/>
      <c r="AT71" s="449"/>
      <c r="AU71" s="449"/>
      <c r="AV71" s="449">
        <v>0</v>
      </c>
      <c r="AW71" s="449"/>
      <c r="AX71" s="449"/>
      <c r="AY71" s="449"/>
      <c r="AZ71" s="449">
        <v>0</v>
      </c>
      <c r="BA71" s="449">
        <f>BA66+BA69</f>
        <v>0.1</v>
      </c>
      <c r="BB71" s="450">
        <f t="shared" si="390"/>
        <v>0.15000000000000002</v>
      </c>
      <c r="BC71" s="450">
        <f t="shared" si="391"/>
        <v>0.15000000000000002</v>
      </c>
      <c r="BD71" s="450">
        <f>BD66+BD69</f>
        <v>0.1</v>
      </c>
      <c r="BE71" s="450">
        <f t="shared" si="392"/>
        <v>0.15000000000000002</v>
      </c>
      <c r="BF71" s="449">
        <v>0</v>
      </c>
      <c r="BG71" s="449"/>
      <c r="BH71" s="449"/>
      <c r="BI71" s="449"/>
      <c r="BJ71" s="449"/>
      <c r="BK71" s="449"/>
      <c r="BL71" s="449"/>
      <c r="BM71" s="449"/>
      <c r="BN71" s="449"/>
      <c r="BO71" s="449"/>
      <c r="BP71" s="449"/>
      <c r="BQ71" s="449"/>
      <c r="BR71" s="449"/>
      <c r="BS71" s="449">
        <v>0</v>
      </c>
      <c r="BT71" s="449">
        <v>0</v>
      </c>
      <c r="BU71" s="449"/>
      <c r="BV71" s="449"/>
      <c r="BW71" s="449"/>
      <c r="BX71" s="450"/>
      <c r="BY71" s="450"/>
      <c r="BZ71" s="450"/>
      <c r="CA71" s="450"/>
      <c r="CB71" s="450"/>
      <c r="CC71" s="450"/>
      <c r="CD71" s="450"/>
      <c r="CE71" s="450">
        <f>CE66+CE69</f>
        <v>0</v>
      </c>
      <c r="CF71" s="450">
        <f t="shared" si="393"/>
        <v>0</v>
      </c>
      <c r="CG71" s="450">
        <f t="shared" si="394"/>
        <v>0</v>
      </c>
      <c r="CH71" s="450">
        <f>CH66+CH69</f>
        <v>0</v>
      </c>
      <c r="CI71" s="450">
        <f t="shared" si="395"/>
        <v>0</v>
      </c>
      <c r="CJ71" s="449">
        <v>0</v>
      </c>
      <c r="CK71" s="449"/>
      <c r="CL71" s="449"/>
      <c r="CM71" s="449"/>
      <c r="CN71" s="449"/>
      <c r="CO71" s="449"/>
      <c r="CP71" s="449"/>
      <c r="CQ71" s="449"/>
      <c r="CR71" s="449"/>
      <c r="CS71" s="449"/>
      <c r="CT71" s="449"/>
      <c r="CU71" s="449"/>
      <c r="CV71" s="449"/>
      <c r="CW71" s="449"/>
      <c r="CX71" s="449"/>
      <c r="CY71" s="449"/>
      <c r="CZ71" s="449"/>
      <c r="DA71" s="449"/>
      <c r="DB71" s="449"/>
      <c r="DC71" s="449"/>
      <c r="DD71" s="449"/>
      <c r="DE71" s="449"/>
      <c r="DF71" s="449"/>
      <c r="DG71" s="449"/>
      <c r="DH71" s="449"/>
      <c r="DI71" s="449">
        <f t="shared" si="412"/>
        <v>0</v>
      </c>
      <c r="DJ71" s="450">
        <f t="shared" si="397"/>
        <v>0</v>
      </c>
      <c r="DK71" s="447">
        <f t="shared" ref="DK71:DM71" si="428">DG71+DE71+DC71+DA71+CY71+CW71+CU71+CS71+CQ71+CO71+CM71+DI71</f>
        <v>0</v>
      </c>
      <c r="DL71" s="447">
        <f t="shared" si="428"/>
        <v>0</v>
      </c>
      <c r="DM71" s="447">
        <f t="shared" si="428"/>
        <v>0</v>
      </c>
      <c r="DN71" s="449">
        <v>0</v>
      </c>
      <c r="DO71" s="449"/>
      <c r="DP71" s="449"/>
      <c r="DQ71" s="449"/>
      <c r="DR71" s="449"/>
      <c r="DS71" s="449"/>
      <c r="DT71" s="449"/>
      <c r="DU71" s="449"/>
      <c r="DV71" s="449"/>
      <c r="DW71" s="449"/>
      <c r="DX71" s="449"/>
      <c r="DY71" s="449"/>
      <c r="DZ71" s="449"/>
      <c r="EA71" s="449"/>
      <c r="EB71" s="449"/>
      <c r="EC71" s="449"/>
      <c r="ED71" s="449"/>
      <c r="EE71" s="449"/>
      <c r="EF71" s="449"/>
      <c r="EG71" s="449"/>
      <c r="EH71" s="449"/>
      <c r="EI71" s="449"/>
      <c r="EJ71" s="449"/>
      <c r="EK71" s="449"/>
      <c r="EL71" s="449"/>
      <c r="EM71" s="449">
        <f t="shared" si="413"/>
        <v>0</v>
      </c>
      <c r="EN71" s="472">
        <f t="shared" ref="EN71:EO71" si="429">DO71+DQ71+DS71+DU71</f>
        <v>0</v>
      </c>
      <c r="EO71" s="472">
        <f t="shared" si="429"/>
        <v>0</v>
      </c>
      <c r="EP71" s="473">
        <f t="shared" si="424"/>
        <v>0</v>
      </c>
      <c r="EQ71" s="472"/>
      <c r="ER71" s="451">
        <f t="shared" si="384"/>
        <v>0</v>
      </c>
      <c r="ES71" s="451">
        <f t="shared" si="403"/>
        <v>0</v>
      </c>
      <c r="ET71" s="452">
        <f t="shared" si="404"/>
        <v>0</v>
      </c>
      <c r="EU71" s="452">
        <f t="shared" si="420"/>
        <v>0.95454545454545447</v>
      </c>
      <c r="EV71" s="421">
        <f t="shared" si="425"/>
        <v>1.1666666666666667</v>
      </c>
      <c r="EW71" s="735"/>
      <c r="EX71" s="735"/>
      <c r="EY71" s="735"/>
      <c r="EZ71" s="735"/>
      <c r="FA71" s="735"/>
      <c r="FB71" s="770"/>
      <c r="FC71" s="88"/>
      <c r="FD71" s="88"/>
    </row>
    <row r="72" spans="1:160" ht="30" customHeight="1" thickBot="1" x14ac:dyDescent="0.3">
      <c r="A72" s="694"/>
      <c r="B72" s="733"/>
      <c r="C72" s="733"/>
      <c r="D72" s="733"/>
      <c r="E72" s="733"/>
      <c r="F72" s="86" t="s">
        <v>354</v>
      </c>
      <c r="G72" s="459">
        <f t="shared" si="426"/>
        <v>584335853</v>
      </c>
      <c r="H72" s="460">
        <f t="shared" ref="H72:DN72" si="430">H67+H70</f>
        <v>334120000</v>
      </c>
      <c r="I72" s="460">
        <f t="shared" si="430"/>
        <v>0</v>
      </c>
      <c r="J72" s="460">
        <f t="shared" si="430"/>
        <v>0</v>
      </c>
      <c r="K72" s="460">
        <f t="shared" si="430"/>
        <v>334120000</v>
      </c>
      <c r="L72" s="460">
        <f t="shared" si="430"/>
        <v>40000000</v>
      </c>
      <c r="M72" s="460">
        <f t="shared" si="430"/>
        <v>400424000</v>
      </c>
      <c r="N72" s="460">
        <f t="shared" si="430"/>
        <v>318184000</v>
      </c>
      <c r="O72" s="460">
        <f t="shared" si="430"/>
        <v>478424000</v>
      </c>
      <c r="P72" s="460">
        <f t="shared" si="430"/>
        <v>318184000</v>
      </c>
      <c r="Q72" s="460">
        <f t="shared" si="430"/>
        <v>491805000</v>
      </c>
      <c r="R72" s="460">
        <f t="shared" si="430"/>
        <v>318184000</v>
      </c>
      <c r="S72" s="460">
        <f t="shared" si="430"/>
        <v>463576000</v>
      </c>
      <c r="T72" s="460">
        <f t="shared" si="430"/>
        <v>318184000</v>
      </c>
      <c r="U72" s="460">
        <f t="shared" si="430"/>
        <v>463576000</v>
      </c>
      <c r="V72" s="460">
        <f t="shared" si="430"/>
        <v>424276000</v>
      </c>
      <c r="W72" s="460">
        <f t="shared" si="430"/>
        <v>334120000</v>
      </c>
      <c r="X72" s="460">
        <f t="shared" si="430"/>
        <v>334120000</v>
      </c>
      <c r="Y72" s="460">
        <f t="shared" si="430"/>
        <v>424276000</v>
      </c>
      <c r="Z72" s="460">
        <f t="shared" si="430"/>
        <v>463576000</v>
      </c>
      <c r="AA72" s="460">
        <f t="shared" si="430"/>
        <v>424276000</v>
      </c>
      <c r="AB72" s="460">
        <f t="shared" si="430"/>
        <v>160059853</v>
      </c>
      <c r="AC72" s="460">
        <f t="shared" si="430"/>
        <v>33914000</v>
      </c>
      <c r="AD72" s="460">
        <f t="shared" si="430"/>
        <v>33914000</v>
      </c>
      <c r="AE72" s="460">
        <f t="shared" si="430"/>
        <v>63821000</v>
      </c>
      <c r="AF72" s="460">
        <f t="shared" si="430"/>
        <v>63821000</v>
      </c>
      <c r="AG72" s="460">
        <f t="shared" si="430"/>
        <v>28387834</v>
      </c>
      <c r="AH72" s="460">
        <f t="shared" si="430"/>
        <v>28387834</v>
      </c>
      <c r="AI72" s="460">
        <f t="shared" si="430"/>
        <v>0</v>
      </c>
      <c r="AJ72" s="460">
        <f t="shared" si="430"/>
        <v>0</v>
      </c>
      <c r="AK72" s="460">
        <f t="shared" si="430"/>
        <v>31865000</v>
      </c>
      <c r="AL72" s="460">
        <f t="shared" si="430"/>
        <v>31865000</v>
      </c>
      <c r="AM72" s="460">
        <f t="shared" si="430"/>
        <v>2072019</v>
      </c>
      <c r="AN72" s="460">
        <f t="shared" si="430"/>
        <v>2072019</v>
      </c>
      <c r="AO72" s="460">
        <f t="shared" si="430"/>
        <v>0</v>
      </c>
      <c r="AP72" s="460">
        <f t="shared" si="430"/>
        <v>0</v>
      </c>
      <c r="AQ72" s="460">
        <f t="shared" si="430"/>
        <v>0</v>
      </c>
      <c r="AR72" s="460">
        <f t="shared" si="430"/>
        <v>0</v>
      </c>
      <c r="AS72" s="460">
        <f t="shared" si="430"/>
        <v>0</v>
      </c>
      <c r="AT72" s="460">
        <f t="shared" si="430"/>
        <v>0</v>
      </c>
      <c r="AU72" s="460">
        <f t="shared" si="430"/>
        <v>0</v>
      </c>
      <c r="AV72" s="460">
        <f t="shared" si="430"/>
        <v>0</v>
      </c>
      <c r="AW72" s="460">
        <f t="shared" si="430"/>
        <v>0</v>
      </c>
      <c r="AX72" s="460">
        <f t="shared" si="430"/>
        <v>0</v>
      </c>
      <c r="AY72" s="460">
        <f t="shared" si="430"/>
        <v>0</v>
      </c>
      <c r="AZ72" s="460">
        <f t="shared" si="430"/>
        <v>0</v>
      </c>
      <c r="BA72" s="460">
        <f t="shared" si="430"/>
        <v>160059853</v>
      </c>
      <c r="BB72" s="460">
        <f t="shared" si="430"/>
        <v>160059853</v>
      </c>
      <c r="BC72" s="460">
        <f t="shared" si="430"/>
        <v>160059853</v>
      </c>
      <c r="BD72" s="460">
        <f t="shared" si="430"/>
        <v>160059853</v>
      </c>
      <c r="BE72" s="460">
        <f t="shared" si="430"/>
        <v>160059853</v>
      </c>
      <c r="BF72" s="460">
        <f t="shared" si="430"/>
        <v>0</v>
      </c>
      <c r="BG72" s="460">
        <f t="shared" si="430"/>
        <v>0</v>
      </c>
      <c r="BH72" s="460">
        <f t="shared" si="430"/>
        <v>0</v>
      </c>
      <c r="BI72" s="460">
        <f t="shared" si="430"/>
        <v>0</v>
      </c>
      <c r="BJ72" s="460">
        <f t="shared" si="430"/>
        <v>0</v>
      </c>
      <c r="BK72" s="460">
        <f t="shared" si="430"/>
        <v>0</v>
      </c>
      <c r="BL72" s="460">
        <f t="shared" si="430"/>
        <v>0</v>
      </c>
      <c r="BM72" s="460">
        <f t="shared" si="430"/>
        <v>0</v>
      </c>
      <c r="BN72" s="460">
        <f t="shared" si="430"/>
        <v>0</v>
      </c>
      <c r="BO72" s="460">
        <f t="shared" si="430"/>
        <v>0</v>
      </c>
      <c r="BP72" s="460">
        <f t="shared" si="430"/>
        <v>0</v>
      </c>
      <c r="BQ72" s="460">
        <f t="shared" si="430"/>
        <v>0</v>
      </c>
      <c r="BR72" s="460">
        <f t="shared" si="430"/>
        <v>0</v>
      </c>
      <c r="BS72" s="460">
        <f t="shared" si="430"/>
        <v>0</v>
      </c>
      <c r="BT72" s="460">
        <f t="shared" si="430"/>
        <v>0</v>
      </c>
      <c r="BU72" s="460">
        <f t="shared" si="430"/>
        <v>0</v>
      </c>
      <c r="BV72" s="460">
        <f t="shared" si="430"/>
        <v>0</v>
      </c>
      <c r="BW72" s="460">
        <f t="shared" si="430"/>
        <v>0</v>
      </c>
      <c r="BX72" s="460">
        <f t="shared" si="430"/>
        <v>0</v>
      </c>
      <c r="BY72" s="460">
        <f t="shared" si="430"/>
        <v>0</v>
      </c>
      <c r="BZ72" s="460">
        <f t="shared" si="430"/>
        <v>0</v>
      </c>
      <c r="CA72" s="460">
        <f t="shared" si="430"/>
        <v>0</v>
      </c>
      <c r="CB72" s="460">
        <f t="shared" si="430"/>
        <v>0</v>
      </c>
      <c r="CC72" s="460">
        <f t="shared" si="430"/>
        <v>0</v>
      </c>
      <c r="CD72" s="460">
        <f t="shared" si="430"/>
        <v>0</v>
      </c>
      <c r="CE72" s="460">
        <f t="shared" si="430"/>
        <v>0</v>
      </c>
      <c r="CF72" s="460">
        <f t="shared" si="430"/>
        <v>0</v>
      </c>
      <c r="CG72" s="460">
        <f t="shared" si="430"/>
        <v>0</v>
      </c>
      <c r="CH72" s="460">
        <f t="shared" si="430"/>
        <v>0</v>
      </c>
      <c r="CI72" s="460">
        <f t="shared" si="430"/>
        <v>0</v>
      </c>
      <c r="CJ72" s="460">
        <f t="shared" si="430"/>
        <v>0</v>
      </c>
      <c r="CK72" s="460">
        <f t="shared" si="430"/>
        <v>0</v>
      </c>
      <c r="CL72" s="460">
        <f t="shared" si="430"/>
        <v>0</v>
      </c>
      <c r="CM72" s="460">
        <f t="shared" si="430"/>
        <v>0</v>
      </c>
      <c r="CN72" s="460">
        <f t="shared" si="430"/>
        <v>0</v>
      </c>
      <c r="CO72" s="460">
        <f t="shared" si="430"/>
        <v>0</v>
      </c>
      <c r="CP72" s="460">
        <f t="shared" si="430"/>
        <v>0</v>
      </c>
      <c r="CQ72" s="460">
        <f t="shared" si="430"/>
        <v>0</v>
      </c>
      <c r="CR72" s="460">
        <f t="shared" si="430"/>
        <v>0</v>
      </c>
      <c r="CS72" s="460">
        <f t="shared" si="430"/>
        <v>0</v>
      </c>
      <c r="CT72" s="460">
        <f t="shared" si="430"/>
        <v>0</v>
      </c>
      <c r="CU72" s="460">
        <f t="shared" si="430"/>
        <v>0</v>
      </c>
      <c r="CV72" s="460">
        <f t="shared" si="430"/>
        <v>0</v>
      </c>
      <c r="CW72" s="460">
        <f t="shared" si="430"/>
        <v>0</v>
      </c>
      <c r="CX72" s="460">
        <f t="shared" si="430"/>
        <v>0</v>
      </c>
      <c r="CY72" s="460">
        <f t="shared" si="430"/>
        <v>0</v>
      </c>
      <c r="CZ72" s="460">
        <f t="shared" si="430"/>
        <v>0</v>
      </c>
      <c r="DA72" s="460">
        <f t="shared" si="430"/>
        <v>0</v>
      </c>
      <c r="DB72" s="460">
        <f t="shared" si="430"/>
        <v>0</v>
      </c>
      <c r="DC72" s="460">
        <f t="shared" si="430"/>
        <v>0</v>
      </c>
      <c r="DD72" s="460">
        <f t="shared" si="430"/>
        <v>0</v>
      </c>
      <c r="DE72" s="460">
        <f t="shared" si="430"/>
        <v>0</v>
      </c>
      <c r="DF72" s="460">
        <f t="shared" si="430"/>
        <v>0</v>
      </c>
      <c r="DG72" s="460">
        <f t="shared" si="430"/>
        <v>0</v>
      </c>
      <c r="DH72" s="460">
        <f t="shared" si="430"/>
        <v>0</v>
      </c>
      <c r="DI72" s="460">
        <f t="shared" si="430"/>
        <v>0</v>
      </c>
      <c r="DJ72" s="460">
        <f t="shared" si="430"/>
        <v>0</v>
      </c>
      <c r="DK72" s="460">
        <f t="shared" si="430"/>
        <v>0</v>
      </c>
      <c r="DL72" s="460">
        <f t="shared" si="430"/>
        <v>0</v>
      </c>
      <c r="DM72" s="460">
        <f t="shared" si="430"/>
        <v>0</v>
      </c>
      <c r="DN72" s="460">
        <f t="shared" si="430"/>
        <v>0</v>
      </c>
      <c r="DO72" s="461"/>
      <c r="DP72" s="461"/>
      <c r="DQ72" s="461"/>
      <c r="DR72" s="461"/>
      <c r="DS72" s="461"/>
      <c r="DT72" s="461"/>
      <c r="DU72" s="461"/>
      <c r="DV72" s="461"/>
      <c r="DW72" s="461"/>
      <c r="DX72" s="461"/>
      <c r="DY72" s="461"/>
      <c r="DZ72" s="461"/>
      <c r="EA72" s="461"/>
      <c r="EB72" s="461"/>
      <c r="EC72" s="461"/>
      <c r="ED72" s="461"/>
      <c r="EE72" s="461"/>
      <c r="EF72" s="461"/>
      <c r="EG72" s="461"/>
      <c r="EH72" s="461"/>
      <c r="EI72" s="461"/>
      <c r="EJ72" s="461"/>
      <c r="EK72" s="461"/>
      <c r="EL72" s="461"/>
      <c r="EM72" s="462">
        <f t="shared" ref="EM72:EM74" si="431">EK72+EI72+EG72+EE72+EC72+EA72+DY72+DW72+DU72+DS72+DQ72+DO72</f>
        <v>0</v>
      </c>
      <c r="EN72" s="463">
        <f>+EN67+EN70</f>
        <v>0</v>
      </c>
      <c r="EO72" s="463">
        <f>EO67+EO70</f>
        <v>0</v>
      </c>
      <c r="EP72" s="463">
        <f>+EP67+EP70</f>
        <v>0</v>
      </c>
      <c r="EQ72" s="463"/>
      <c r="ER72" s="464">
        <f t="shared" si="384"/>
        <v>0</v>
      </c>
      <c r="ES72" s="464">
        <f t="shared" si="403"/>
        <v>0</v>
      </c>
      <c r="ET72" s="465">
        <f t="shared" si="404"/>
        <v>0</v>
      </c>
      <c r="EU72" s="465">
        <f t="shared" si="420"/>
        <v>0.9369824556895705</v>
      </c>
      <c r="EV72" s="466">
        <f t="shared" si="425"/>
        <v>1</v>
      </c>
      <c r="EW72" s="768"/>
      <c r="EX72" s="735"/>
      <c r="EY72" s="735"/>
      <c r="EZ72" s="735"/>
      <c r="FA72" s="735"/>
      <c r="FB72" s="770"/>
      <c r="FC72" s="91"/>
      <c r="FD72" s="91"/>
    </row>
    <row r="73" spans="1:160" ht="30" customHeight="1" x14ac:dyDescent="0.25">
      <c r="A73" s="694"/>
      <c r="B73" s="747">
        <v>10</v>
      </c>
      <c r="C73" s="732" t="s">
        <v>381</v>
      </c>
      <c r="D73" s="748" t="s">
        <v>177</v>
      </c>
      <c r="E73" s="732">
        <v>198</v>
      </c>
      <c r="F73" s="78" t="s">
        <v>345</v>
      </c>
      <c r="G73" s="426">
        <f t="shared" ref="G73:G74" si="432">AA73+BE73+CI73+DL73+DN73</f>
        <v>100</v>
      </c>
      <c r="H73" s="497">
        <v>12.5</v>
      </c>
      <c r="I73" s="431"/>
      <c r="J73" s="431"/>
      <c r="K73" s="436">
        <v>12.5</v>
      </c>
      <c r="L73" s="480">
        <v>2</v>
      </c>
      <c r="M73" s="436">
        <v>12.5</v>
      </c>
      <c r="N73" s="436">
        <v>4.0999999999999996</v>
      </c>
      <c r="O73" s="436">
        <v>12.5</v>
      </c>
      <c r="P73" s="436">
        <v>6.2</v>
      </c>
      <c r="Q73" s="436">
        <v>12.5</v>
      </c>
      <c r="R73" s="436">
        <v>8.3000000000000007</v>
      </c>
      <c r="S73" s="436">
        <v>12.5</v>
      </c>
      <c r="T73" s="480">
        <v>10.4</v>
      </c>
      <c r="U73" s="436">
        <v>12.5</v>
      </c>
      <c r="V73" s="436">
        <v>12.5</v>
      </c>
      <c r="W73" s="455">
        <f t="shared" ref="W73:W78" si="433">+H73</f>
        <v>12.5</v>
      </c>
      <c r="X73" s="455">
        <f t="shared" ref="X73:X78" si="434">+H73</f>
        <v>12.5</v>
      </c>
      <c r="Y73" s="455">
        <f t="shared" ref="Y73:Y78" si="435">+V73</f>
        <v>12.5</v>
      </c>
      <c r="Z73" s="455">
        <f t="shared" ref="Z73:AA73" si="436">+U73</f>
        <v>12.5</v>
      </c>
      <c r="AA73" s="455">
        <f t="shared" si="436"/>
        <v>12.5</v>
      </c>
      <c r="AB73" s="436">
        <v>15</v>
      </c>
      <c r="AC73" s="437">
        <v>1.25</v>
      </c>
      <c r="AD73" s="437">
        <v>1.25</v>
      </c>
      <c r="AE73" s="437">
        <v>1.25</v>
      </c>
      <c r="AF73" s="437">
        <v>1.25</v>
      </c>
      <c r="AG73" s="437">
        <v>1.25</v>
      </c>
      <c r="AH73" s="437">
        <v>1.25</v>
      </c>
      <c r="AI73" s="437">
        <v>1.25</v>
      </c>
      <c r="AJ73" s="437">
        <v>1.25</v>
      </c>
      <c r="AK73" s="437">
        <v>1.25</v>
      </c>
      <c r="AL73" s="437">
        <v>1.25</v>
      </c>
      <c r="AM73" s="437">
        <v>1.25</v>
      </c>
      <c r="AN73" s="437">
        <v>1.25</v>
      </c>
      <c r="AO73" s="437">
        <v>1.25</v>
      </c>
      <c r="AP73" s="437">
        <v>1.25</v>
      </c>
      <c r="AQ73" s="437">
        <v>1.25</v>
      </c>
      <c r="AR73" s="437">
        <v>1.25</v>
      </c>
      <c r="AS73" s="437">
        <v>1.25</v>
      </c>
      <c r="AT73" s="437">
        <v>1.25</v>
      </c>
      <c r="AU73" s="437">
        <v>1.25</v>
      </c>
      <c r="AV73" s="437">
        <v>1.25</v>
      </c>
      <c r="AW73" s="437">
        <v>1.25</v>
      </c>
      <c r="AX73" s="437">
        <v>1.25</v>
      </c>
      <c r="AY73" s="437">
        <v>1.25</v>
      </c>
      <c r="AZ73" s="437">
        <v>1.25</v>
      </c>
      <c r="BA73" s="455">
        <f>AY73+AW73+AU73+AS73+AO73+AM73+AK73+AI73+AG73+AE73+AC73+AQ73</f>
        <v>15</v>
      </c>
      <c r="BB73" s="455">
        <f t="shared" ref="BB73:BB78" si="437">AC73+AE73+AG73+AI73+AK73+AM73+AO73+AQ73+AS73+AU73+AW73+AY73</f>
        <v>15</v>
      </c>
      <c r="BC73" s="454">
        <f t="shared" ref="BC73:BC78" si="438">+AN73+AD73+AF73+AH73+AJ73+AL73+AP73+AR73+AT73+AV73+AX73+AZ73</f>
        <v>15</v>
      </c>
      <c r="BD73" s="455">
        <f t="shared" ref="BD73:BD75" si="439">BA73</f>
        <v>15</v>
      </c>
      <c r="BE73" s="454">
        <f t="shared" ref="BE73:BE76" si="440">AF73+AH73+AJ73+AL73+AD73+AN73+AP73+AR73+AT73+AV73+AX73+AZ73</f>
        <v>15</v>
      </c>
      <c r="BF73" s="431">
        <v>25</v>
      </c>
      <c r="BG73" s="436">
        <v>2.0699999999999998</v>
      </c>
      <c r="BH73" s="436">
        <v>2.0699999999999998</v>
      </c>
      <c r="BI73" s="436">
        <v>2.0699999999999998</v>
      </c>
      <c r="BJ73" s="436">
        <v>2.0699999999999998</v>
      </c>
      <c r="BK73" s="436">
        <v>2.08</v>
      </c>
      <c r="BL73" s="436">
        <v>2.08</v>
      </c>
      <c r="BM73" s="436">
        <v>2.08</v>
      </c>
      <c r="BN73" s="436">
        <v>2.08</v>
      </c>
      <c r="BO73" s="436">
        <v>2.08</v>
      </c>
      <c r="BP73" s="436">
        <v>2.08</v>
      </c>
      <c r="BQ73" s="436">
        <v>2.09</v>
      </c>
      <c r="BR73" s="436">
        <v>2.09</v>
      </c>
      <c r="BS73" s="436">
        <v>2.09</v>
      </c>
      <c r="BT73" s="436">
        <v>2.09</v>
      </c>
      <c r="BU73" s="436">
        <v>2.1</v>
      </c>
      <c r="BV73" s="436">
        <v>2.1</v>
      </c>
      <c r="BW73" s="436">
        <v>2.09</v>
      </c>
      <c r="BX73" s="436">
        <v>2.09</v>
      </c>
      <c r="BY73" s="436">
        <v>2.1</v>
      </c>
      <c r="BZ73" s="489">
        <v>2.1</v>
      </c>
      <c r="CA73" s="436">
        <v>2.08</v>
      </c>
      <c r="CB73" s="436">
        <v>2.08</v>
      </c>
      <c r="CC73" s="436">
        <v>2.0699999999999998</v>
      </c>
      <c r="CD73" s="436">
        <v>2.0699999999999998</v>
      </c>
      <c r="CE73" s="455">
        <f>CC73+CA73+BY73+BW73+BS73+BQ73+BO73+BM73+BK73+BI73+BG73+BU73</f>
        <v>25</v>
      </c>
      <c r="CF73" s="455">
        <f t="shared" ref="CF73:CF78" si="441">+BG73+BI73+BK73+BM73+BO73+BQ73+BS73+BU73+BW73+BY73+CA73+CC73</f>
        <v>25</v>
      </c>
      <c r="CG73" s="454">
        <f t="shared" ref="CG73:CG78" si="442">+BR73+BH73+BJ73+BL73+BN73+BP73+BT73+BV73+BX73+BZ73+CB73+CD73</f>
        <v>25</v>
      </c>
      <c r="CH73" s="455">
        <f t="shared" ref="CH73:CH75" si="443">CE73</f>
        <v>25</v>
      </c>
      <c r="CI73" s="454">
        <f t="shared" ref="CI73:CI77" si="444">BJ73+BL73+BN73+BP73+BH73+BR73+BT73+BV73+BX73+BZ73+CB73+CD73</f>
        <v>25</v>
      </c>
      <c r="CJ73" s="431">
        <v>35</v>
      </c>
      <c r="CK73" s="436">
        <v>2.2000000000000002</v>
      </c>
      <c r="CL73" s="436">
        <v>2.2000000000000002</v>
      </c>
      <c r="CM73" s="443">
        <v>3</v>
      </c>
      <c r="CN73" s="443">
        <v>3</v>
      </c>
      <c r="CO73" s="443">
        <v>3</v>
      </c>
      <c r="CP73" s="443">
        <v>3</v>
      </c>
      <c r="CQ73" s="443">
        <v>3</v>
      </c>
      <c r="CR73" s="443">
        <v>3</v>
      </c>
      <c r="CS73" s="443">
        <v>3</v>
      </c>
      <c r="CT73" s="443">
        <v>3</v>
      </c>
      <c r="CU73" s="443">
        <v>3</v>
      </c>
      <c r="CV73" s="443">
        <v>3</v>
      </c>
      <c r="CW73" s="443">
        <v>3</v>
      </c>
      <c r="CX73" s="443">
        <v>3</v>
      </c>
      <c r="CY73" s="443">
        <v>3</v>
      </c>
      <c r="CZ73" s="443">
        <v>3</v>
      </c>
      <c r="DA73" s="443">
        <v>3</v>
      </c>
      <c r="DB73" s="443">
        <v>3</v>
      </c>
      <c r="DC73" s="443">
        <v>3</v>
      </c>
      <c r="DD73" s="443">
        <v>3</v>
      </c>
      <c r="DE73" s="443">
        <v>3</v>
      </c>
      <c r="DF73" s="443">
        <v>3</v>
      </c>
      <c r="DG73" s="443">
        <v>2.8</v>
      </c>
      <c r="DH73" s="443">
        <v>2.8</v>
      </c>
      <c r="DI73" s="454">
        <f t="shared" ref="DI73:DI74" si="445">DG73+DE73+DC73+DA73+CY73+CW73+CU73+CS73+CQ73+CO73+CM73+CK73</f>
        <v>35</v>
      </c>
      <c r="DJ73" s="454">
        <f t="shared" ref="DJ73:DK73" si="446">CK73+CM73+CO73+CQ73+CS73+CU73+CW73+CY73+DA73+DC73+DE73+DG73</f>
        <v>35</v>
      </c>
      <c r="DK73" s="454">
        <f t="shared" si="446"/>
        <v>35</v>
      </c>
      <c r="DL73" s="455">
        <f t="shared" ref="DL73:DL78" si="447">DI73</f>
        <v>35</v>
      </c>
      <c r="DM73" s="454">
        <f t="shared" ref="DM73:DM78" si="448">CN73+CP73+CR73+CT73+CL73+CV73+CX73+CZ73+DB73+DD73+DF73+DH73</f>
        <v>35</v>
      </c>
      <c r="DN73" s="489">
        <v>12.5</v>
      </c>
      <c r="DO73" s="431"/>
      <c r="DP73" s="431"/>
      <c r="DQ73" s="431"/>
      <c r="DR73" s="431"/>
      <c r="DS73" s="431"/>
      <c r="DT73" s="431"/>
      <c r="DU73" s="431"/>
      <c r="DV73" s="431"/>
      <c r="DW73" s="431"/>
      <c r="DX73" s="431"/>
      <c r="DY73" s="431"/>
      <c r="DZ73" s="431"/>
      <c r="EA73" s="431"/>
      <c r="EB73" s="431"/>
      <c r="EC73" s="431"/>
      <c r="ED73" s="431"/>
      <c r="EE73" s="431"/>
      <c r="EF73" s="431"/>
      <c r="EG73" s="431"/>
      <c r="EH73" s="431"/>
      <c r="EI73" s="431"/>
      <c r="EJ73" s="431"/>
      <c r="EK73" s="431"/>
      <c r="EL73" s="431"/>
      <c r="EM73" s="426">
        <f t="shared" si="431"/>
        <v>0</v>
      </c>
      <c r="EN73" s="426">
        <f t="shared" ref="EN73:EO73" si="449">DO73+DQ73+DS73+DU73</f>
        <v>0</v>
      </c>
      <c r="EO73" s="454">
        <f t="shared" si="449"/>
        <v>0</v>
      </c>
      <c r="EP73" s="456">
        <f t="shared" ref="EP73:EP74" si="450">DQ73+DS73+DU73+DW73+DY73+EA73+EC73+EE73+EG73+EI73+EK73+DO73</f>
        <v>0</v>
      </c>
      <c r="EQ73" s="454"/>
      <c r="ER73" s="457">
        <f t="shared" si="23"/>
        <v>1</v>
      </c>
      <c r="ES73" s="457">
        <f t="shared" ref="ES73:ES75" si="451">DK73/DJ73</f>
        <v>1</v>
      </c>
      <c r="ET73" s="458">
        <f t="shared" ref="ET73:ET75" si="452">DM73/DL73</f>
        <v>1</v>
      </c>
      <c r="EU73" s="458">
        <f t="shared" si="420"/>
        <v>1</v>
      </c>
      <c r="EV73" s="427">
        <f t="shared" si="425"/>
        <v>0.875</v>
      </c>
      <c r="EW73" s="771" t="s">
        <v>1366</v>
      </c>
      <c r="EX73" s="734" t="s">
        <v>178</v>
      </c>
      <c r="EY73" s="734" t="s">
        <v>178</v>
      </c>
      <c r="EZ73" s="771" t="s">
        <v>382</v>
      </c>
      <c r="FA73" s="771" t="s">
        <v>383</v>
      </c>
      <c r="FB73" s="769"/>
      <c r="FC73" s="88"/>
      <c r="FD73" s="88"/>
    </row>
    <row r="74" spans="1:160" ht="30" customHeight="1" x14ac:dyDescent="0.25">
      <c r="A74" s="694"/>
      <c r="B74" s="694"/>
      <c r="C74" s="694"/>
      <c r="D74" s="694"/>
      <c r="E74" s="694"/>
      <c r="F74" s="81" t="s">
        <v>349</v>
      </c>
      <c r="G74" s="410">
        <f t="shared" si="432"/>
        <v>3336762059</v>
      </c>
      <c r="H74" s="410">
        <v>381900000</v>
      </c>
      <c r="I74" s="410"/>
      <c r="J74" s="410"/>
      <c r="K74" s="410">
        <v>381900000</v>
      </c>
      <c r="L74" s="410">
        <v>27401143</v>
      </c>
      <c r="M74" s="410">
        <v>381900000</v>
      </c>
      <c r="N74" s="410">
        <v>102981143</v>
      </c>
      <c r="O74" s="410">
        <v>303900000</v>
      </c>
      <c r="P74" s="410">
        <v>119147442</v>
      </c>
      <c r="Q74" s="410">
        <v>225075000</v>
      </c>
      <c r="R74" s="410">
        <v>121576922</v>
      </c>
      <c r="S74" s="410">
        <v>225075000</v>
      </c>
      <c r="T74" s="410">
        <v>168075108</v>
      </c>
      <c r="U74" s="410">
        <v>225075000</v>
      </c>
      <c r="V74" s="410">
        <v>219942147</v>
      </c>
      <c r="W74" s="410">
        <f t="shared" si="433"/>
        <v>381900000</v>
      </c>
      <c r="X74" s="410">
        <f t="shared" si="434"/>
        <v>381900000</v>
      </c>
      <c r="Y74" s="410">
        <f t="shared" si="435"/>
        <v>219942147</v>
      </c>
      <c r="Z74" s="410">
        <f t="shared" ref="Z74:AA74" si="453">+U74</f>
        <v>225075000</v>
      </c>
      <c r="AA74" s="410">
        <f t="shared" si="453"/>
        <v>219942147</v>
      </c>
      <c r="AB74" s="410">
        <v>801561000</v>
      </c>
      <c r="AC74" s="410">
        <v>0</v>
      </c>
      <c r="AD74" s="410">
        <v>0</v>
      </c>
      <c r="AE74" s="410">
        <v>101350694</v>
      </c>
      <c r="AF74" s="410">
        <v>101350694</v>
      </c>
      <c r="AG74" s="410">
        <f>426196694-AF74</f>
        <v>324846000</v>
      </c>
      <c r="AH74" s="410">
        <v>324846000</v>
      </c>
      <c r="AI74" s="410">
        <f>619322694-AF74-AH74</f>
        <v>193126000</v>
      </c>
      <c r="AJ74" s="410">
        <v>193126000</v>
      </c>
      <c r="AK74" s="410">
        <v>0</v>
      </c>
      <c r="AL74" s="410">
        <v>0</v>
      </c>
      <c r="AM74" s="410">
        <v>89679200</v>
      </c>
      <c r="AN74" s="410">
        <v>68271200</v>
      </c>
      <c r="AO74" s="410">
        <v>0</v>
      </c>
      <c r="AP74" s="410">
        <v>778910</v>
      </c>
      <c r="AQ74" s="410">
        <v>0</v>
      </c>
      <c r="AR74" s="410">
        <v>0</v>
      </c>
      <c r="AS74" s="410">
        <v>15000167</v>
      </c>
      <c r="AT74" s="410">
        <v>20000000</v>
      </c>
      <c r="AU74" s="410">
        <v>9525000</v>
      </c>
      <c r="AV74" s="410">
        <f>9930600+11034000</f>
        <v>20964600</v>
      </c>
      <c r="AW74" s="410">
        <v>474833</v>
      </c>
      <c r="AX74" s="410">
        <v>35001627</v>
      </c>
      <c r="AY74" s="410">
        <f>45639733+20990000</f>
        <v>66629733</v>
      </c>
      <c r="AZ74" s="410">
        <v>14668333</v>
      </c>
      <c r="BA74" s="410">
        <f>AY74+AW74+AU74+AS74+AQ74+AO74+AM74+AK74+AI74+AG74+AE74+AC74</f>
        <v>800631627</v>
      </c>
      <c r="BB74" s="410">
        <f t="shared" si="437"/>
        <v>800631627</v>
      </c>
      <c r="BC74" s="410">
        <f t="shared" si="438"/>
        <v>779007364</v>
      </c>
      <c r="BD74" s="410">
        <f t="shared" si="439"/>
        <v>800631627</v>
      </c>
      <c r="BE74" s="410">
        <f t="shared" si="440"/>
        <v>779007364</v>
      </c>
      <c r="BF74" s="410">
        <v>783556000</v>
      </c>
      <c r="BG74" s="410">
        <v>635898000</v>
      </c>
      <c r="BH74" s="410">
        <v>635898000</v>
      </c>
      <c r="BI74" s="410">
        <f>84230000+22684000</f>
        <v>106914000</v>
      </c>
      <c r="BJ74" s="410">
        <v>0</v>
      </c>
      <c r="BK74" s="410">
        <v>21594000</v>
      </c>
      <c r="BL74" s="410">
        <v>2457000</v>
      </c>
      <c r="BM74" s="410">
        <v>425000</v>
      </c>
      <c r="BN74" s="410">
        <v>1540000</v>
      </c>
      <c r="BO74" s="410">
        <v>0</v>
      </c>
      <c r="BP74" s="410">
        <v>0</v>
      </c>
      <c r="BQ74" s="410">
        <v>0</v>
      </c>
      <c r="BR74" s="410">
        <v>8000000</v>
      </c>
      <c r="BS74" s="410">
        <v>0</v>
      </c>
      <c r="BT74" s="410">
        <v>6580573</v>
      </c>
      <c r="BU74" s="410">
        <v>850000</v>
      </c>
      <c r="BV74" s="410">
        <v>0</v>
      </c>
      <c r="BW74" s="410">
        <v>17875000</v>
      </c>
      <c r="BX74" s="410">
        <v>55810023</v>
      </c>
      <c r="BY74" s="410">
        <v>-7826000</v>
      </c>
      <c r="BZ74" s="410">
        <v>3513429</v>
      </c>
      <c r="CA74" s="410">
        <v>0</v>
      </c>
      <c r="CB74" s="410">
        <v>19502500</v>
      </c>
      <c r="CC74" s="410">
        <v>0</v>
      </c>
      <c r="CD74" s="410">
        <v>27062256</v>
      </c>
      <c r="CE74" s="410">
        <f>CC74+CA74+BY74+BW74+BU74+BS74+BQ74+BO74+BM74+BK74+BI74+BG74</f>
        <v>775730000</v>
      </c>
      <c r="CF74" s="410">
        <f t="shared" si="441"/>
        <v>775730000</v>
      </c>
      <c r="CG74" s="410">
        <f t="shared" si="442"/>
        <v>760363781</v>
      </c>
      <c r="CH74" s="410">
        <f t="shared" si="443"/>
        <v>775730000</v>
      </c>
      <c r="CI74" s="410">
        <f t="shared" si="444"/>
        <v>760363781</v>
      </c>
      <c r="CJ74" s="410">
        <v>783421000</v>
      </c>
      <c r="CK74" s="410">
        <v>345440000</v>
      </c>
      <c r="CL74" s="410">
        <v>345440000</v>
      </c>
      <c r="CM74" s="410">
        <v>154286000</v>
      </c>
      <c r="CN74" s="410">
        <v>154286000</v>
      </c>
      <c r="CO74" s="410">
        <v>108682526</v>
      </c>
      <c r="CP74" s="410">
        <v>108682526</v>
      </c>
      <c r="CQ74" s="410">
        <f>28056000+14958000</f>
        <v>43014000</v>
      </c>
      <c r="CR74" s="410">
        <v>16274610</v>
      </c>
      <c r="CS74" s="410">
        <v>9000000</v>
      </c>
      <c r="CT74" s="410">
        <v>25865610</v>
      </c>
      <c r="CU74" s="410"/>
      <c r="CV74" s="410">
        <v>1316466</v>
      </c>
      <c r="CW74" s="410">
        <f>15000000+2244000</f>
        <v>17244000</v>
      </c>
      <c r="CX74" s="410">
        <v>1316088</v>
      </c>
      <c r="CY74" s="410"/>
      <c r="CZ74" s="410">
        <v>1451088</v>
      </c>
      <c r="DA74" s="410"/>
      <c r="DB74" s="410">
        <v>10316088</v>
      </c>
      <c r="DC74" s="410">
        <v>-3380233</v>
      </c>
      <c r="DD74" s="410">
        <v>734524</v>
      </c>
      <c r="DE74" s="410">
        <v>-79800000</v>
      </c>
      <c r="DF74" s="410"/>
      <c r="DG74" s="410">
        <v>105754474</v>
      </c>
      <c r="DH74" s="410">
        <v>34544000</v>
      </c>
      <c r="DI74" s="410">
        <f t="shared" si="445"/>
        <v>700240767</v>
      </c>
      <c r="DJ74" s="410">
        <f t="shared" ref="DJ74:DK74" si="454">CK74+CM74+CO74+CQ74+CS74+CU74+CW74+CY74+DA74+DC74+DE74+DG74</f>
        <v>700240767</v>
      </c>
      <c r="DK74" s="410">
        <f t="shared" si="454"/>
        <v>700227000</v>
      </c>
      <c r="DL74" s="410">
        <f t="shared" si="447"/>
        <v>700240767</v>
      </c>
      <c r="DM74" s="410">
        <f t="shared" si="448"/>
        <v>700227000</v>
      </c>
      <c r="DN74" s="410">
        <v>877208000</v>
      </c>
      <c r="DO74" s="411"/>
      <c r="DP74" s="411"/>
      <c r="DQ74" s="411"/>
      <c r="DR74" s="411"/>
      <c r="DS74" s="411"/>
      <c r="DT74" s="411"/>
      <c r="DU74" s="411"/>
      <c r="DV74" s="411"/>
      <c r="DW74" s="411"/>
      <c r="DX74" s="411"/>
      <c r="DY74" s="411"/>
      <c r="DZ74" s="411"/>
      <c r="EA74" s="411"/>
      <c r="EB74" s="411"/>
      <c r="EC74" s="411"/>
      <c r="ED74" s="411"/>
      <c r="EE74" s="411"/>
      <c r="EF74" s="411"/>
      <c r="EG74" s="411"/>
      <c r="EH74" s="411"/>
      <c r="EI74" s="411"/>
      <c r="EJ74" s="411"/>
      <c r="EK74" s="411"/>
      <c r="EL74" s="411"/>
      <c r="EM74" s="402">
        <f t="shared" si="431"/>
        <v>0</v>
      </c>
      <c r="EN74" s="413">
        <f t="shared" ref="EN74:EO74" si="455">DO74+DQ74+DS74+DU74</f>
        <v>0</v>
      </c>
      <c r="EO74" s="413">
        <f t="shared" si="455"/>
        <v>0</v>
      </c>
      <c r="EP74" s="410">
        <f t="shared" si="450"/>
        <v>0</v>
      </c>
      <c r="EQ74" s="413"/>
      <c r="ER74" s="407">
        <f t="shared" si="23"/>
        <v>0.3266433909926118</v>
      </c>
      <c r="ES74" s="407">
        <f t="shared" si="451"/>
        <v>0.99998033961938693</v>
      </c>
      <c r="ET74" s="408">
        <f t="shared" si="452"/>
        <v>0.99998033961938693</v>
      </c>
      <c r="EU74" s="408">
        <f t="shared" si="420"/>
        <v>0.98315646050083783</v>
      </c>
      <c r="EV74" s="409">
        <f t="shared" si="425"/>
        <v>0.73710388949252914</v>
      </c>
      <c r="EW74" s="735"/>
      <c r="EX74" s="735"/>
      <c r="EY74" s="735"/>
      <c r="EZ74" s="735"/>
      <c r="FA74" s="735"/>
      <c r="FB74" s="770"/>
      <c r="FC74" s="82"/>
      <c r="FD74" s="82"/>
    </row>
    <row r="75" spans="1:160" ht="30" customHeight="1" x14ac:dyDescent="0.25">
      <c r="A75" s="694"/>
      <c r="B75" s="694"/>
      <c r="C75" s="694"/>
      <c r="D75" s="694"/>
      <c r="E75" s="694"/>
      <c r="F75" s="83" t="s">
        <v>350</v>
      </c>
      <c r="G75" s="410"/>
      <c r="H75" s="410"/>
      <c r="I75" s="410"/>
      <c r="J75" s="410"/>
      <c r="K75" s="410"/>
      <c r="L75" s="410"/>
      <c r="M75" s="410"/>
      <c r="N75" s="410"/>
      <c r="O75" s="410"/>
      <c r="P75" s="410"/>
      <c r="Q75" s="410"/>
      <c r="R75" s="410"/>
      <c r="S75" s="410"/>
      <c r="T75" s="410"/>
      <c r="U75" s="410"/>
      <c r="V75" s="410"/>
      <c r="W75" s="410">
        <f t="shared" si="433"/>
        <v>0</v>
      </c>
      <c r="X75" s="410">
        <f t="shared" si="434"/>
        <v>0</v>
      </c>
      <c r="Y75" s="410">
        <f t="shared" si="435"/>
        <v>0</v>
      </c>
      <c r="Z75" s="410">
        <f t="shared" ref="Z75:AA75" si="456">+U75</f>
        <v>0</v>
      </c>
      <c r="AA75" s="410">
        <f t="shared" si="456"/>
        <v>0</v>
      </c>
      <c r="AB75" s="410"/>
      <c r="AC75" s="410"/>
      <c r="AD75" s="410"/>
      <c r="AE75" s="410">
        <v>5482052</v>
      </c>
      <c r="AF75" s="410">
        <v>5482052</v>
      </c>
      <c r="AG75" s="410">
        <f>19474701-AF75</f>
        <v>13992649</v>
      </c>
      <c r="AH75" s="410">
        <v>13992649</v>
      </c>
      <c r="AI75" s="410">
        <f>37130834-AF75-AH75</f>
        <v>17656133</v>
      </c>
      <c r="AJ75" s="410">
        <v>17656133</v>
      </c>
      <c r="AK75" s="410">
        <v>64834987</v>
      </c>
      <c r="AL75" s="410">
        <v>64834987</v>
      </c>
      <c r="AM75" s="410">
        <v>92099105</v>
      </c>
      <c r="AN75" s="410">
        <v>90036040</v>
      </c>
      <c r="AO75" s="410">
        <v>92099105</v>
      </c>
      <c r="AP75" s="410">
        <v>99257443</v>
      </c>
      <c r="AQ75" s="410">
        <v>92099105</v>
      </c>
      <c r="AR75" s="410">
        <v>91189860</v>
      </c>
      <c r="AS75" s="410">
        <v>81324105</v>
      </c>
      <c r="AT75" s="410">
        <v>71767600</v>
      </c>
      <c r="AU75" s="410">
        <v>81324105</v>
      </c>
      <c r="AV75" s="410">
        <f>65907163</f>
        <v>65907163</v>
      </c>
      <c r="AW75" s="410">
        <v>81324105</v>
      </c>
      <c r="AX75" s="410">
        <v>69231628</v>
      </c>
      <c r="AY75" s="410">
        <v>81324105</v>
      </c>
      <c r="AZ75" s="410">
        <v>120544274</v>
      </c>
      <c r="BA75" s="410">
        <f>AW75+AU75+AS75+AQ75+AO75+AM75+AK75+AI75+AG75+AE75+AC75+AY75</f>
        <v>703559556</v>
      </c>
      <c r="BB75" s="410">
        <f t="shared" si="437"/>
        <v>703559556</v>
      </c>
      <c r="BC75" s="410">
        <f t="shared" si="438"/>
        <v>709899829</v>
      </c>
      <c r="BD75" s="410">
        <f t="shared" si="439"/>
        <v>703559556</v>
      </c>
      <c r="BE75" s="410">
        <f t="shared" si="440"/>
        <v>709899829</v>
      </c>
      <c r="BF75" s="410"/>
      <c r="BG75" s="410">
        <v>0</v>
      </c>
      <c r="BH75" s="410">
        <v>0</v>
      </c>
      <c r="BI75" s="410">
        <v>52963000</v>
      </c>
      <c r="BJ75" s="410">
        <v>0</v>
      </c>
      <c r="BK75" s="410">
        <v>77209000</v>
      </c>
      <c r="BL75" s="410">
        <v>38922800</v>
      </c>
      <c r="BM75" s="410">
        <v>77567000</v>
      </c>
      <c r="BN75" s="410">
        <v>39097000</v>
      </c>
      <c r="BO75" s="410">
        <v>87447000</v>
      </c>
      <c r="BP75" s="410">
        <v>46201000</v>
      </c>
      <c r="BQ75" s="410">
        <v>82567000</v>
      </c>
      <c r="BR75" s="410">
        <v>43178005</v>
      </c>
      <c r="BS75" s="410">
        <v>77567000</v>
      </c>
      <c r="BT75" s="410">
        <v>73570027.006819606</v>
      </c>
      <c r="BU75" s="410">
        <v>82600000</v>
      </c>
      <c r="BV75" s="410">
        <v>46686102</v>
      </c>
      <c r="BW75" s="410">
        <v>64785667</v>
      </c>
      <c r="BX75" s="410">
        <v>45436984.108054757</v>
      </c>
      <c r="BY75" s="410">
        <v>53875000</v>
      </c>
      <c r="BZ75" s="410">
        <v>39102002.891945243</v>
      </c>
      <c r="CA75" s="410">
        <v>51875000</v>
      </c>
      <c r="CB75" s="410">
        <v>56364907</v>
      </c>
      <c r="CC75" s="410">
        <f>75100333-7826000</f>
        <v>67274333</v>
      </c>
      <c r="CD75" s="410">
        <v>67009089</v>
      </c>
      <c r="CE75" s="410">
        <f>CA75+BY75+BW75+BU75+BS75+BQ75+BO75+BM75+BK75+BI75+BG75+CC75</f>
        <v>775730000</v>
      </c>
      <c r="CF75" s="410">
        <f t="shared" si="441"/>
        <v>775730000</v>
      </c>
      <c r="CG75" s="410">
        <f t="shared" si="442"/>
        <v>495567917.00681961</v>
      </c>
      <c r="CH75" s="410">
        <f t="shared" si="443"/>
        <v>775730000</v>
      </c>
      <c r="CI75" s="410">
        <f t="shared" si="444"/>
        <v>495567917.00681961</v>
      </c>
      <c r="CJ75" s="410"/>
      <c r="CK75" s="410"/>
      <c r="CL75" s="410"/>
      <c r="CM75" s="410">
        <v>0</v>
      </c>
      <c r="CN75" s="410">
        <v>0</v>
      </c>
      <c r="CO75" s="410">
        <v>5684626</v>
      </c>
      <c r="CP75" s="410">
        <v>5684626</v>
      </c>
      <c r="CQ75" s="410">
        <v>44106000</v>
      </c>
      <c r="CR75" s="410">
        <v>49848476</v>
      </c>
      <c r="CS75" s="410">
        <f>44106000+29800</f>
        <v>44135800</v>
      </c>
      <c r="CT75" s="410">
        <v>41250810</v>
      </c>
      <c r="CU75" s="410">
        <v>44135800</v>
      </c>
      <c r="CV75" s="410">
        <v>109506761.69597262</v>
      </c>
      <c r="CW75" s="410">
        <v>44135800</v>
      </c>
      <c r="CX75" s="410">
        <v>75673705</v>
      </c>
      <c r="CY75" s="410">
        <v>44135800</v>
      </c>
      <c r="CZ75" s="410">
        <v>78644856.322699666</v>
      </c>
      <c r="DA75" s="410">
        <v>44135800</v>
      </c>
      <c r="DB75" s="410">
        <v>75047416</v>
      </c>
      <c r="DC75" s="410">
        <v>44135800</v>
      </c>
      <c r="DD75" s="410">
        <v>51888590</v>
      </c>
      <c r="DE75" s="410">
        <f>44106000</f>
        <v>44106000</v>
      </c>
      <c r="DF75" s="410">
        <v>54841691</v>
      </c>
      <c r="DG75" s="410">
        <f>424709574-83180233</f>
        <v>341529341</v>
      </c>
      <c r="DH75" s="410">
        <v>75192866</v>
      </c>
      <c r="DI75" s="410">
        <f t="shared" ref="DI75:DI76" si="457">DE75+DC75+DA75+CY75+CW75+CU75+CS75+CQ75+CO75+CM75+CK75+DG75</f>
        <v>700240767</v>
      </c>
      <c r="DJ75" s="410">
        <f t="shared" ref="DJ75:DK75" si="458">CK75+CM75+CO75+CQ75+CS75+CU75+CW75+CY75+DA75+DC75+DE75+DG75</f>
        <v>700240767</v>
      </c>
      <c r="DK75" s="410">
        <f t="shared" si="458"/>
        <v>617579798.01867223</v>
      </c>
      <c r="DL75" s="410">
        <f t="shared" si="447"/>
        <v>700240767</v>
      </c>
      <c r="DM75" s="410">
        <f t="shared" si="448"/>
        <v>617579798.01867223</v>
      </c>
      <c r="DN75" s="410"/>
      <c r="DO75" s="411"/>
      <c r="DP75" s="411"/>
      <c r="DQ75" s="411"/>
      <c r="DR75" s="411"/>
      <c r="DS75" s="411"/>
      <c r="DT75" s="411"/>
      <c r="DU75" s="411"/>
      <c r="DV75" s="411"/>
      <c r="DW75" s="411"/>
      <c r="DX75" s="411"/>
      <c r="DY75" s="411"/>
      <c r="DZ75" s="411"/>
      <c r="EA75" s="411"/>
      <c r="EB75" s="411"/>
      <c r="EC75" s="411"/>
      <c r="ED75" s="411"/>
      <c r="EE75" s="411"/>
      <c r="EF75" s="411"/>
      <c r="EG75" s="411"/>
      <c r="EH75" s="411"/>
      <c r="EI75" s="411"/>
      <c r="EJ75" s="411"/>
      <c r="EK75" s="411"/>
      <c r="EL75" s="411"/>
      <c r="EM75" s="402">
        <f t="shared" ref="EM75:EM78" si="459">EI75+EG75+EE75+EC75+EA75+DY75+DW75+DU75+DS75+DQ75+DO75+EK75</f>
        <v>0</v>
      </c>
      <c r="EN75" s="413">
        <f t="shared" ref="EN75:EO75" si="460">DO75+DQ75+DS75+DU75</f>
        <v>0</v>
      </c>
      <c r="EO75" s="413">
        <f t="shared" si="460"/>
        <v>0</v>
      </c>
      <c r="EP75" s="412">
        <f t="shared" ref="EP75:EP76" si="461">DQ75+DS75+DU75+DW75+DY75+EA75+EC75+EE75+EG75+EI75+EK75</f>
        <v>0</v>
      </c>
      <c r="EQ75" s="413"/>
      <c r="ER75" s="407">
        <f t="shared" ref="ER75:ER79" si="462">DH75/DG75</f>
        <v>0.22016517169457483</v>
      </c>
      <c r="ES75" s="407">
        <f t="shared" si="451"/>
        <v>0.88195350388486049</v>
      </c>
      <c r="ET75" s="408">
        <f t="shared" si="452"/>
        <v>0.88195350388486049</v>
      </c>
      <c r="EU75" s="408">
        <f t="shared" si="420"/>
        <v>0.8364405508780306</v>
      </c>
      <c r="EV75" s="409">
        <f t="shared" ref="EV75:EV76" si="463">IFERROR((AA75+BE75+CI75+DM75)/G75,0)</f>
        <v>0</v>
      </c>
      <c r="EW75" s="735"/>
      <c r="EX75" s="735"/>
      <c r="EY75" s="735"/>
      <c r="EZ75" s="735"/>
      <c r="FA75" s="735"/>
      <c r="FB75" s="770"/>
      <c r="FC75" s="82"/>
      <c r="FD75" s="82"/>
    </row>
    <row r="76" spans="1:160" ht="30" customHeight="1" x14ac:dyDescent="0.25">
      <c r="A76" s="694"/>
      <c r="B76" s="694"/>
      <c r="C76" s="694"/>
      <c r="D76" s="694"/>
      <c r="E76" s="694"/>
      <c r="F76" s="84" t="s">
        <v>351</v>
      </c>
      <c r="G76" s="374"/>
      <c r="H76" s="442"/>
      <c r="I76" s="374"/>
      <c r="J76" s="374"/>
      <c r="K76" s="374"/>
      <c r="L76" s="374"/>
      <c r="M76" s="374"/>
      <c r="N76" s="374"/>
      <c r="O76" s="374"/>
      <c r="P76" s="374"/>
      <c r="Q76" s="374"/>
      <c r="R76" s="374"/>
      <c r="S76" s="374"/>
      <c r="T76" s="374"/>
      <c r="U76" s="374"/>
      <c r="V76" s="374"/>
      <c r="W76" s="406">
        <f t="shared" si="433"/>
        <v>0</v>
      </c>
      <c r="X76" s="406">
        <f t="shared" si="434"/>
        <v>0</v>
      </c>
      <c r="Y76" s="406">
        <f t="shared" si="435"/>
        <v>0</v>
      </c>
      <c r="Z76" s="406">
        <f t="shared" ref="Z76:AA76" si="464">+U76</f>
        <v>0</v>
      </c>
      <c r="AA76" s="406">
        <f t="shared" si="464"/>
        <v>0</v>
      </c>
      <c r="AB76" s="374"/>
      <c r="AC76" s="374"/>
      <c r="AD76" s="374"/>
      <c r="AE76" s="374"/>
      <c r="AF76" s="374"/>
      <c r="AG76" s="374"/>
      <c r="AH76" s="374"/>
      <c r="AI76" s="374"/>
      <c r="AJ76" s="374"/>
      <c r="AK76" s="404"/>
      <c r="AL76" s="404"/>
      <c r="AM76" s="404"/>
      <c r="AN76" s="404"/>
      <c r="AO76" s="404"/>
      <c r="AP76" s="404"/>
      <c r="AQ76" s="404"/>
      <c r="AR76" s="404"/>
      <c r="AS76" s="404"/>
      <c r="AT76" s="404"/>
      <c r="AU76" s="404"/>
      <c r="AV76" s="404"/>
      <c r="AW76" s="404"/>
      <c r="AX76" s="404"/>
      <c r="AY76" s="404"/>
      <c r="AZ76" s="404"/>
      <c r="BA76" s="402">
        <v>0</v>
      </c>
      <c r="BB76" s="406">
        <f t="shared" si="437"/>
        <v>0</v>
      </c>
      <c r="BC76" s="406">
        <f t="shared" si="438"/>
        <v>0</v>
      </c>
      <c r="BD76" s="406">
        <f>AC76+AE76+AG76+AI76+AK76+AM76+AO76+AQ76+AS76+AU76+AW76+AY76</f>
        <v>0</v>
      </c>
      <c r="BE76" s="406">
        <f t="shared" si="440"/>
        <v>0</v>
      </c>
      <c r="BF76" s="404"/>
      <c r="BG76" s="404"/>
      <c r="BH76" s="404"/>
      <c r="BI76" s="404"/>
      <c r="BJ76" s="404"/>
      <c r="BK76" s="404"/>
      <c r="BL76" s="404"/>
      <c r="BM76" s="404"/>
      <c r="BN76" s="404"/>
      <c r="BO76" s="404"/>
      <c r="BP76" s="404"/>
      <c r="BQ76" s="404"/>
      <c r="BR76" s="404"/>
      <c r="BS76" s="404"/>
      <c r="BT76" s="404"/>
      <c r="BU76" s="404"/>
      <c r="BV76" s="404"/>
      <c r="BW76" s="404"/>
      <c r="BX76" s="404"/>
      <c r="BY76" s="404"/>
      <c r="BZ76" s="404"/>
      <c r="CA76" s="404"/>
      <c r="CB76" s="404"/>
      <c r="CC76" s="404"/>
      <c r="CD76" s="404"/>
      <c r="CE76" s="402">
        <v>0</v>
      </c>
      <c r="CF76" s="406">
        <f t="shared" si="441"/>
        <v>0</v>
      </c>
      <c r="CG76" s="406">
        <f t="shared" si="442"/>
        <v>0</v>
      </c>
      <c r="CH76" s="406">
        <f>BG76+BI76+BK76+BM76+BO76+BQ76+BS76+BU76+BW76+BY76+CA76+CC76</f>
        <v>0</v>
      </c>
      <c r="CI76" s="406">
        <f t="shared" si="444"/>
        <v>0</v>
      </c>
      <c r="CJ76" s="404"/>
      <c r="CK76" s="404"/>
      <c r="CL76" s="404"/>
      <c r="CM76" s="404"/>
      <c r="CN76" s="404"/>
      <c r="CO76" s="404"/>
      <c r="CP76" s="404"/>
      <c r="CQ76" s="404"/>
      <c r="CR76" s="404"/>
      <c r="CS76" s="404"/>
      <c r="CT76" s="404"/>
      <c r="CU76" s="404"/>
      <c r="CV76" s="404"/>
      <c r="CW76" s="404"/>
      <c r="CX76" s="404"/>
      <c r="CY76" s="404"/>
      <c r="CZ76" s="404"/>
      <c r="DA76" s="404"/>
      <c r="DB76" s="404"/>
      <c r="DC76" s="404"/>
      <c r="DD76" s="404"/>
      <c r="DE76" s="404"/>
      <c r="DF76" s="404"/>
      <c r="DG76" s="404"/>
      <c r="DH76" s="404"/>
      <c r="DI76" s="402">
        <f t="shared" si="457"/>
        <v>0</v>
      </c>
      <c r="DJ76" s="405">
        <f t="shared" ref="DJ76:DK76" si="465">CK76+CM76+CO76+CQ76+CS76+CU76+CW76+CY76+DA76+DC76+DE76+DG76</f>
        <v>0</v>
      </c>
      <c r="DK76" s="405">
        <f t="shared" si="465"/>
        <v>0</v>
      </c>
      <c r="DL76" s="402">
        <f t="shared" si="447"/>
        <v>0</v>
      </c>
      <c r="DM76" s="402">
        <f t="shared" si="448"/>
        <v>0</v>
      </c>
      <c r="DN76" s="404"/>
      <c r="DO76" s="404"/>
      <c r="DP76" s="404"/>
      <c r="DQ76" s="404"/>
      <c r="DR76" s="404"/>
      <c r="DS76" s="404"/>
      <c r="DT76" s="404"/>
      <c r="DU76" s="404"/>
      <c r="DV76" s="404"/>
      <c r="DW76" s="404"/>
      <c r="DX76" s="404"/>
      <c r="DY76" s="404"/>
      <c r="DZ76" s="404"/>
      <c r="EA76" s="404"/>
      <c r="EB76" s="404"/>
      <c r="EC76" s="404"/>
      <c r="ED76" s="404"/>
      <c r="EE76" s="404"/>
      <c r="EF76" s="404"/>
      <c r="EG76" s="404"/>
      <c r="EH76" s="404"/>
      <c r="EI76" s="404"/>
      <c r="EJ76" s="404"/>
      <c r="EK76" s="404"/>
      <c r="EL76" s="404"/>
      <c r="EM76" s="405">
        <f t="shared" si="459"/>
        <v>0</v>
      </c>
      <c r="EN76" s="429">
        <f t="shared" ref="EN76:EO76" si="466">DO76+DQ76+DS76+DU76</f>
        <v>0</v>
      </c>
      <c r="EO76" s="429">
        <f t="shared" si="466"/>
        <v>0</v>
      </c>
      <c r="EP76" s="430">
        <f t="shared" si="461"/>
        <v>0</v>
      </c>
      <c r="EQ76" s="416"/>
      <c r="ER76" s="407">
        <f>IFERROR(DH76/DG76,0)</f>
        <v>0</v>
      </c>
      <c r="ES76" s="407">
        <f>IFERROR(DK76/DJ76,0)</f>
        <v>0</v>
      </c>
      <c r="ET76" s="408">
        <f>IFERROR(DM76/DL76,0)</f>
        <v>0</v>
      </c>
      <c r="EU76" s="408">
        <f>IFERROR((AA76+BE76+CI76+DK76)/(Z76+BD76+CH76+DJ76),0)</f>
        <v>0</v>
      </c>
      <c r="EV76" s="409">
        <f t="shared" si="463"/>
        <v>0</v>
      </c>
      <c r="EW76" s="735"/>
      <c r="EX76" s="735"/>
      <c r="EY76" s="735"/>
      <c r="EZ76" s="735"/>
      <c r="FA76" s="735"/>
      <c r="FB76" s="770"/>
      <c r="FC76" s="80"/>
      <c r="FD76" s="80"/>
    </row>
    <row r="77" spans="1:160" ht="30" customHeight="1" x14ac:dyDescent="0.25">
      <c r="A77" s="694"/>
      <c r="B77" s="694"/>
      <c r="C77" s="694"/>
      <c r="D77" s="694"/>
      <c r="E77" s="694"/>
      <c r="F77" s="85" t="s">
        <v>352</v>
      </c>
      <c r="G77" s="410">
        <f>AA77+BE77+CI77+DL77+DN77</f>
        <v>412274936</v>
      </c>
      <c r="H77" s="410"/>
      <c r="I77" s="410"/>
      <c r="J77" s="410"/>
      <c r="K77" s="410"/>
      <c r="L77" s="410"/>
      <c r="M77" s="410"/>
      <c r="N77" s="410"/>
      <c r="O77" s="410"/>
      <c r="P77" s="410"/>
      <c r="Q77" s="410"/>
      <c r="R77" s="410"/>
      <c r="S77" s="410"/>
      <c r="T77" s="410"/>
      <c r="U77" s="410"/>
      <c r="V77" s="410"/>
      <c r="W77" s="410">
        <f t="shared" si="433"/>
        <v>0</v>
      </c>
      <c r="X77" s="410">
        <f t="shared" si="434"/>
        <v>0</v>
      </c>
      <c r="Y77" s="410">
        <f t="shared" si="435"/>
        <v>0</v>
      </c>
      <c r="Z77" s="410">
        <f t="shared" ref="Z77:AA77" si="467">+U77</f>
        <v>0</v>
      </c>
      <c r="AA77" s="410">
        <f t="shared" si="467"/>
        <v>0</v>
      </c>
      <c r="AB77" s="410">
        <v>81973233</v>
      </c>
      <c r="AC77" s="410">
        <v>11357200</v>
      </c>
      <c r="AD77" s="410">
        <v>11357200</v>
      </c>
      <c r="AE77" s="410">
        <f>38726571-AD77</f>
        <v>27369371</v>
      </c>
      <c r="AF77" s="410">
        <v>27369371</v>
      </c>
      <c r="AG77" s="410">
        <f>78539901-AD77-AF77</f>
        <v>39813330</v>
      </c>
      <c r="AH77" s="410">
        <v>39813330</v>
      </c>
      <c r="AI77" s="410">
        <f>80858628-AD77-AF77-AH77</f>
        <v>2318727</v>
      </c>
      <c r="AJ77" s="410">
        <v>2318727</v>
      </c>
      <c r="AK77" s="410">
        <v>0</v>
      </c>
      <c r="AL77" s="410">
        <v>0</v>
      </c>
      <c r="AM77" s="410">
        <v>205640</v>
      </c>
      <c r="AN77" s="410">
        <v>205640</v>
      </c>
      <c r="AO77" s="410">
        <v>908965</v>
      </c>
      <c r="AP77" s="410">
        <v>908965</v>
      </c>
      <c r="AQ77" s="410">
        <v>-490600</v>
      </c>
      <c r="AR77" s="410">
        <v>-490600</v>
      </c>
      <c r="AS77" s="410"/>
      <c r="AT77" s="410">
        <v>0</v>
      </c>
      <c r="AU77" s="410"/>
      <c r="AV77" s="410">
        <v>0</v>
      </c>
      <c r="AW77" s="410"/>
      <c r="AX77" s="410"/>
      <c r="AY77" s="410"/>
      <c r="AZ77" s="410"/>
      <c r="BA77" s="410">
        <f>AW77+AU77+AS77+AQ77+AO77+AM77+AK77+AI77+AG77+AE77+AC77+AY77</f>
        <v>81482633</v>
      </c>
      <c r="BB77" s="410">
        <f t="shared" si="437"/>
        <v>81482633</v>
      </c>
      <c r="BC77" s="410">
        <f t="shared" si="438"/>
        <v>81482633</v>
      </c>
      <c r="BD77" s="410">
        <f>BA77</f>
        <v>81482633</v>
      </c>
      <c r="BE77" s="410">
        <v>81482633</v>
      </c>
      <c r="BF77" s="410">
        <v>69107535</v>
      </c>
      <c r="BG77" s="410">
        <v>41700399</v>
      </c>
      <c r="BH77" s="410">
        <v>41700399</v>
      </c>
      <c r="BI77" s="410">
        <f>11966201-331833</f>
        <v>11634368</v>
      </c>
      <c r="BJ77" s="410">
        <v>10950500</v>
      </c>
      <c r="BK77" s="410">
        <v>0</v>
      </c>
      <c r="BL77" s="410">
        <v>8648250</v>
      </c>
      <c r="BM77" s="410">
        <v>15440935</v>
      </c>
      <c r="BN77" s="410">
        <v>0</v>
      </c>
      <c r="BO77" s="410">
        <v>0</v>
      </c>
      <c r="BP77" s="410">
        <v>6460852</v>
      </c>
      <c r="BQ77" s="410">
        <v>0</v>
      </c>
      <c r="BR77" s="410">
        <v>0</v>
      </c>
      <c r="BS77" s="410">
        <v>-1014900</v>
      </c>
      <c r="BT77" s="410">
        <v>0</v>
      </c>
      <c r="BU77" s="410">
        <v>0</v>
      </c>
      <c r="BV77" s="410">
        <v>0</v>
      </c>
      <c r="BW77" s="410">
        <v>-800</v>
      </c>
      <c r="BX77" s="410">
        <v>0</v>
      </c>
      <c r="BY77" s="410">
        <v>-1</v>
      </c>
      <c r="BZ77" s="410">
        <v>0</v>
      </c>
      <c r="CA77" s="410">
        <v>0</v>
      </c>
      <c r="CB77" s="410">
        <v>0</v>
      </c>
      <c r="CC77" s="410">
        <v>0</v>
      </c>
      <c r="CD77" s="410"/>
      <c r="CE77" s="410">
        <f>CA77+BY77+BW77+BU77+BS77+BQ77+BO77+BM77+BK77+BI77+BG77+CC77</f>
        <v>67760001</v>
      </c>
      <c r="CF77" s="410">
        <f t="shared" si="441"/>
        <v>67760001</v>
      </c>
      <c r="CG77" s="410">
        <f t="shared" si="442"/>
        <v>67760001</v>
      </c>
      <c r="CH77" s="410">
        <f>CE77</f>
        <v>67760001</v>
      </c>
      <c r="CI77" s="410">
        <f t="shared" si="444"/>
        <v>67760001</v>
      </c>
      <c r="CJ77" s="410">
        <v>264795864</v>
      </c>
      <c r="CK77" s="410">
        <v>15209900</v>
      </c>
      <c r="CL77" s="410">
        <v>15209900</v>
      </c>
      <c r="CM77" s="410">
        <v>32819778</v>
      </c>
      <c r="CN77" s="410">
        <v>32819778</v>
      </c>
      <c r="CO77" s="410">
        <v>22012594</v>
      </c>
      <c r="CP77" s="410">
        <v>22012594</v>
      </c>
      <c r="CQ77" s="410">
        <v>80000000</v>
      </c>
      <c r="CR77" s="420">
        <v>40727335.24000001</v>
      </c>
      <c r="CS77" s="410">
        <v>87820593</v>
      </c>
      <c r="CT77" s="410">
        <v>89693233</v>
      </c>
      <c r="CU77" s="410">
        <f>26933000-1746500</f>
        <v>25186500</v>
      </c>
      <c r="CV77" s="410">
        <v>59331737</v>
      </c>
      <c r="CW77" s="410"/>
      <c r="CX77" s="410"/>
      <c r="CY77" s="410"/>
      <c r="CZ77" s="410">
        <v>3152304</v>
      </c>
      <c r="DA77" s="410"/>
      <c r="DB77" s="410"/>
      <c r="DC77" s="410"/>
      <c r="DD77" s="410">
        <v>85421</v>
      </c>
      <c r="DE77" s="410"/>
      <c r="DF77" s="410"/>
      <c r="DG77" s="410">
        <v>-17062</v>
      </c>
      <c r="DH77" s="410"/>
      <c r="DI77" s="444">
        <f>DE77+DC77+DA77+CY77+CW77+CU77+CS77+CQ77+CO77+CM77+CK77+DG77-1</f>
        <v>263032302</v>
      </c>
      <c r="DJ77" s="444">
        <f t="shared" ref="DJ77:DK77" si="468">CK77+CM77+CO77+CQ77+CS77+CU77+CW77+CY77+DA77+DC77+DE77+DG77</f>
        <v>263032303</v>
      </c>
      <c r="DK77" s="410">
        <f t="shared" si="468"/>
        <v>263032302.24000001</v>
      </c>
      <c r="DL77" s="410">
        <f t="shared" si="447"/>
        <v>263032302</v>
      </c>
      <c r="DM77" s="410">
        <f>CN77+CP77+CR77+CT77+CL77+CV77+CX77+CZ77+DB77+DD77+DF77+DH77</f>
        <v>263032302.24000001</v>
      </c>
      <c r="DN77" s="410"/>
      <c r="DO77" s="411"/>
      <c r="DP77" s="411"/>
      <c r="DQ77" s="411"/>
      <c r="DR77" s="411"/>
      <c r="DS77" s="411"/>
      <c r="DT77" s="411"/>
      <c r="DU77" s="411"/>
      <c r="DV77" s="411"/>
      <c r="DW77" s="411"/>
      <c r="DX77" s="411"/>
      <c r="DY77" s="411"/>
      <c r="DZ77" s="411"/>
      <c r="EA77" s="411"/>
      <c r="EB77" s="411"/>
      <c r="EC77" s="411"/>
      <c r="ED77" s="411"/>
      <c r="EE77" s="411"/>
      <c r="EF77" s="411"/>
      <c r="EG77" s="411"/>
      <c r="EH77" s="411"/>
      <c r="EI77" s="411"/>
      <c r="EJ77" s="411"/>
      <c r="EK77" s="411"/>
      <c r="EL77" s="411"/>
      <c r="EM77" s="405">
        <f t="shared" si="459"/>
        <v>0</v>
      </c>
      <c r="EN77" s="413">
        <f t="shared" ref="EN77:EO77" si="469">DO77+DQ77+DS77+DU77</f>
        <v>0</v>
      </c>
      <c r="EO77" s="413">
        <f t="shared" si="469"/>
        <v>0</v>
      </c>
      <c r="EP77" s="412">
        <f t="shared" ref="EP77:EP78" si="470">DQ77+DS77+DU77+DW77+DY77+EA77+EC77+EE77+EG77+EI77+EK77+DO77</f>
        <v>0</v>
      </c>
      <c r="EQ77" s="413"/>
      <c r="ER77" s="407">
        <f t="shared" si="462"/>
        <v>0</v>
      </c>
      <c r="ES77" s="407">
        <f t="shared" ref="ES77:ES78" si="471">DK77/DJ77</f>
        <v>0.99999999711062104</v>
      </c>
      <c r="ET77" s="408">
        <f t="shared" ref="ET77:ET79" si="472">DM77/DL77</f>
        <v>1.0000000009124355</v>
      </c>
      <c r="EU77" s="408">
        <f t="shared" ref="EU77:EU79" si="473">(AA77+BE77+CI77+DK77)/(Z77+BD77+CH77+DJ77)</f>
        <v>0.99999999815657004</v>
      </c>
      <c r="EV77" s="409">
        <f t="shared" ref="EV77:EV79" si="474">(AA77+BE77+CI77+DM77)/G77</f>
        <v>1.0000000005821359</v>
      </c>
      <c r="EW77" s="735"/>
      <c r="EX77" s="735"/>
      <c r="EY77" s="735"/>
      <c r="EZ77" s="735"/>
      <c r="FA77" s="735"/>
      <c r="FB77" s="770"/>
      <c r="FC77" s="82"/>
      <c r="FD77" s="82"/>
    </row>
    <row r="78" spans="1:160" ht="30" customHeight="1" thickBot="1" x14ac:dyDescent="0.3">
      <c r="A78" s="694"/>
      <c r="B78" s="694"/>
      <c r="C78" s="694"/>
      <c r="D78" s="694"/>
      <c r="E78" s="694"/>
      <c r="F78" s="84" t="s">
        <v>353</v>
      </c>
      <c r="G78" s="447">
        <f t="shared" ref="G78:G79" si="475">G73+G76</f>
        <v>100</v>
      </c>
      <c r="H78" s="467">
        <v>12.5</v>
      </c>
      <c r="I78" s="468"/>
      <c r="J78" s="468"/>
      <c r="K78" s="495">
        <v>12.5</v>
      </c>
      <c r="L78" s="495">
        <v>2</v>
      </c>
      <c r="M78" s="495">
        <v>12.5</v>
      </c>
      <c r="N78" s="495">
        <v>4.0999999999999996</v>
      </c>
      <c r="O78" s="495">
        <v>12.5</v>
      </c>
      <c r="P78" s="495">
        <v>6.2</v>
      </c>
      <c r="Q78" s="495">
        <v>12.5</v>
      </c>
      <c r="R78" s="495">
        <v>8.3000000000000007</v>
      </c>
      <c r="S78" s="495">
        <v>12.5</v>
      </c>
      <c r="T78" s="496">
        <v>10.4</v>
      </c>
      <c r="U78" s="496">
        <v>12.5</v>
      </c>
      <c r="V78" s="496">
        <v>12.5</v>
      </c>
      <c r="W78" s="450">
        <f t="shared" si="433"/>
        <v>12.5</v>
      </c>
      <c r="X78" s="450">
        <f t="shared" si="434"/>
        <v>12.5</v>
      </c>
      <c r="Y78" s="450">
        <f t="shared" si="435"/>
        <v>12.5</v>
      </c>
      <c r="Z78" s="450">
        <f t="shared" ref="Z78:AA78" si="476">+U78</f>
        <v>12.5</v>
      </c>
      <c r="AA78" s="450">
        <f t="shared" si="476"/>
        <v>12.5</v>
      </c>
      <c r="AB78" s="449">
        <v>15</v>
      </c>
      <c r="AC78" s="485">
        <v>1.25</v>
      </c>
      <c r="AD78" s="485">
        <v>1.25</v>
      </c>
      <c r="AE78" s="485">
        <v>1.25</v>
      </c>
      <c r="AF78" s="485">
        <v>1.25</v>
      </c>
      <c r="AG78" s="485">
        <v>1.25</v>
      </c>
      <c r="AH78" s="485">
        <v>1.25</v>
      </c>
      <c r="AI78" s="485">
        <v>1.25</v>
      </c>
      <c r="AJ78" s="485">
        <v>1.25</v>
      </c>
      <c r="AK78" s="477">
        <v>1.25</v>
      </c>
      <c r="AL78" s="477">
        <v>1.25</v>
      </c>
      <c r="AM78" s="477">
        <v>1.25</v>
      </c>
      <c r="AN78" s="477"/>
      <c r="AO78" s="477">
        <v>1.25</v>
      </c>
      <c r="AP78" s="477">
        <v>1.25</v>
      </c>
      <c r="AQ78" s="477">
        <v>1.25</v>
      </c>
      <c r="AR78" s="477">
        <v>1.25</v>
      </c>
      <c r="AS78" s="477">
        <v>1.25</v>
      </c>
      <c r="AT78" s="477">
        <v>1.25</v>
      </c>
      <c r="AU78" s="477">
        <v>1.25</v>
      </c>
      <c r="AV78" s="477">
        <v>1.25</v>
      </c>
      <c r="AW78" s="477">
        <v>1.25</v>
      </c>
      <c r="AX78" s="477">
        <v>1.25</v>
      </c>
      <c r="AY78" s="477">
        <v>1.25</v>
      </c>
      <c r="AZ78" s="477"/>
      <c r="BA78" s="449">
        <f>BA73+BA76</f>
        <v>15</v>
      </c>
      <c r="BB78" s="450">
        <f t="shared" si="437"/>
        <v>15</v>
      </c>
      <c r="BC78" s="450">
        <f t="shared" si="438"/>
        <v>12.5</v>
      </c>
      <c r="BD78" s="450">
        <f>BD73+BD76</f>
        <v>15</v>
      </c>
      <c r="BE78" s="449">
        <f>BE73</f>
        <v>15</v>
      </c>
      <c r="BF78" s="477">
        <v>25</v>
      </c>
      <c r="BG78" s="477">
        <f t="shared" ref="BG78:CD78" si="477">+BG73</f>
        <v>2.0699999999999998</v>
      </c>
      <c r="BH78" s="477">
        <f t="shared" si="477"/>
        <v>2.0699999999999998</v>
      </c>
      <c r="BI78" s="477">
        <f t="shared" si="477"/>
        <v>2.0699999999999998</v>
      </c>
      <c r="BJ78" s="477">
        <f t="shared" si="477"/>
        <v>2.0699999999999998</v>
      </c>
      <c r="BK78" s="477">
        <f t="shared" si="477"/>
        <v>2.08</v>
      </c>
      <c r="BL78" s="477">
        <f t="shared" si="477"/>
        <v>2.08</v>
      </c>
      <c r="BM78" s="477">
        <f t="shared" si="477"/>
        <v>2.08</v>
      </c>
      <c r="BN78" s="477">
        <f t="shared" si="477"/>
        <v>2.08</v>
      </c>
      <c r="BO78" s="477">
        <f t="shared" si="477"/>
        <v>2.08</v>
      </c>
      <c r="BP78" s="477">
        <f t="shared" si="477"/>
        <v>2.08</v>
      </c>
      <c r="BQ78" s="477">
        <f t="shared" si="477"/>
        <v>2.09</v>
      </c>
      <c r="BR78" s="477">
        <f t="shared" si="477"/>
        <v>2.09</v>
      </c>
      <c r="BS78" s="477">
        <f t="shared" si="477"/>
        <v>2.09</v>
      </c>
      <c r="BT78" s="477">
        <f t="shared" si="477"/>
        <v>2.09</v>
      </c>
      <c r="BU78" s="477">
        <f t="shared" si="477"/>
        <v>2.1</v>
      </c>
      <c r="BV78" s="477">
        <f t="shared" si="477"/>
        <v>2.1</v>
      </c>
      <c r="BW78" s="477">
        <f t="shared" si="477"/>
        <v>2.09</v>
      </c>
      <c r="BX78" s="477">
        <f t="shared" si="477"/>
        <v>2.09</v>
      </c>
      <c r="BY78" s="477">
        <f t="shared" si="477"/>
        <v>2.1</v>
      </c>
      <c r="BZ78" s="477">
        <f t="shared" si="477"/>
        <v>2.1</v>
      </c>
      <c r="CA78" s="477">
        <f t="shared" si="477"/>
        <v>2.08</v>
      </c>
      <c r="CB78" s="477">
        <f t="shared" si="477"/>
        <v>2.08</v>
      </c>
      <c r="CC78" s="477">
        <f t="shared" si="477"/>
        <v>2.0699999999999998</v>
      </c>
      <c r="CD78" s="477">
        <f t="shared" si="477"/>
        <v>2.0699999999999998</v>
      </c>
      <c r="CE78" s="449">
        <f>CE73+CE76</f>
        <v>25</v>
      </c>
      <c r="CF78" s="450">
        <f t="shared" si="441"/>
        <v>25</v>
      </c>
      <c r="CG78" s="450">
        <f t="shared" si="442"/>
        <v>25</v>
      </c>
      <c r="CH78" s="450">
        <f>CH73+CH76</f>
        <v>25</v>
      </c>
      <c r="CI78" s="449">
        <f>CI73</f>
        <v>25</v>
      </c>
      <c r="CJ78" s="477">
        <v>35</v>
      </c>
      <c r="CK78" s="477">
        <f t="shared" ref="CK78:DH78" si="478">+CK73</f>
        <v>2.2000000000000002</v>
      </c>
      <c r="CL78" s="477">
        <f t="shared" si="478"/>
        <v>2.2000000000000002</v>
      </c>
      <c r="CM78" s="477">
        <f t="shared" si="478"/>
        <v>3</v>
      </c>
      <c r="CN78" s="477">
        <f t="shared" si="478"/>
        <v>3</v>
      </c>
      <c r="CO78" s="477">
        <f t="shared" si="478"/>
        <v>3</v>
      </c>
      <c r="CP78" s="477">
        <f t="shared" si="478"/>
        <v>3</v>
      </c>
      <c r="CQ78" s="477">
        <f t="shared" si="478"/>
        <v>3</v>
      </c>
      <c r="CR78" s="477">
        <f t="shared" si="478"/>
        <v>3</v>
      </c>
      <c r="CS78" s="477">
        <f t="shared" si="478"/>
        <v>3</v>
      </c>
      <c r="CT78" s="477">
        <f t="shared" si="478"/>
        <v>3</v>
      </c>
      <c r="CU78" s="477">
        <f t="shared" si="478"/>
        <v>3</v>
      </c>
      <c r="CV78" s="477">
        <f t="shared" si="478"/>
        <v>3</v>
      </c>
      <c r="CW78" s="477">
        <f t="shared" si="478"/>
        <v>3</v>
      </c>
      <c r="CX78" s="477">
        <f t="shared" si="478"/>
        <v>3</v>
      </c>
      <c r="CY78" s="477">
        <f t="shared" si="478"/>
        <v>3</v>
      </c>
      <c r="CZ78" s="477">
        <f t="shared" si="478"/>
        <v>3</v>
      </c>
      <c r="DA78" s="477">
        <f t="shared" si="478"/>
        <v>3</v>
      </c>
      <c r="DB78" s="477">
        <f t="shared" si="478"/>
        <v>3</v>
      </c>
      <c r="DC78" s="477">
        <f t="shared" si="478"/>
        <v>3</v>
      </c>
      <c r="DD78" s="477">
        <f t="shared" si="478"/>
        <v>3</v>
      </c>
      <c r="DE78" s="477">
        <f t="shared" si="478"/>
        <v>3</v>
      </c>
      <c r="DF78" s="477">
        <f t="shared" si="478"/>
        <v>3</v>
      </c>
      <c r="DG78" s="477">
        <f t="shared" si="478"/>
        <v>2.8</v>
      </c>
      <c r="DH78" s="477">
        <f t="shared" si="478"/>
        <v>2.8</v>
      </c>
      <c r="DI78" s="449">
        <f>DE78+DC78+DA78+CY78+CW78+CU78+CS78+CQ78+CO78+CM78+CK78+DG78</f>
        <v>35</v>
      </c>
      <c r="DJ78" s="449">
        <f t="shared" ref="DJ78:DK78" si="479">CK78+CM78+CO78+CQ78+CS78+CU78+CW78+CY78+DA78+DC78+DE78+DG78</f>
        <v>35</v>
      </c>
      <c r="DK78" s="449">
        <f t="shared" si="479"/>
        <v>35</v>
      </c>
      <c r="DL78" s="450">
        <f t="shared" si="447"/>
        <v>35</v>
      </c>
      <c r="DM78" s="449">
        <f t="shared" si="448"/>
        <v>35</v>
      </c>
      <c r="DN78" s="477">
        <v>12.5</v>
      </c>
      <c r="DO78" s="477"/>
      <c r="DP78" s="477"/>
      <c r="DQ78" s="477"/>
      <c r="DR78" s="477"/>
      <c r="DS78" s="477"/>
      <c r="DT78" s="477"/>
      <c r="DU78" s="477"/>
      <c r="DV78" s="477"/>
      <c r="DW78" s="477"/>
      <c r="DX78" s="477"/>
      <c r="DY78" s="477"/>
      <c r="DZ78" s="477"/>
      <c r="EA78" s="477"/>
      <c r="EB78" s="477"/>
      <c r="EC78" s="477"/>
      <c r="ED78" s="477"/>
      <c r="EE78" s="477"/>
      <c r="EF78" s="477"/>
      <c r="EG78" s="477"/>
      <c r="EH78" s="477"/>
      <c r="EI78" s="477"/>
      <c r="EJ78" s="477"/>
      <c r="EK78" s="477"/>
      <c r="EL78" s="477"/>
      <c r="EM78" s="449">
        <f t="shared" si="459"/>
        <v>0</v>
      </c>
      <c r="EN78" s="477"/>
      <c r="EO78" s="472">
        <f>DP78+DR78+DT78+DV78</f>
        <v>0</v>
      </c>
      <c r="EP78" s="473">
        <f t="shared" si="470"/>
        <v>0</v>
      </c>
      <c r="EQ78" s="472"/>
      <c r="ER78" s="451">
        <f t="shared" si="462"/>
        <v>1</v>
      </c>
      <c r="ES78" s="451">
        <f t="shared" si="471"/>
        <v>1</v>
      </c>
      <c r="ET78" s="452">
        <f t="shared" si="472"/>
        <v>1</v>
      </c>
      <c r="EU78" s="452">
        <f t="shared" si="473"/>
        <v>1</v>
      </c>
      <c r="EV78" s="421">
        <f t="shared" si="474"/>
        <v>0.875</v>
      </c>
      <c r="EW78" s="735"/>
      <c r="EX78" s="735"/>
      <c r="EY78" s="735"/>
      <c r="EZ78" s="735"/>
      <c r="FA78" s="735"/>
      <c r="FB78" s="770"/>
      <c r="FC78" s="88"/>
      <c r="FD78" s="88"/>
    </row>
    <row r="79" spans="1:160" ht="36" customHeight="1" thickBot="1" x14ac:dyDescent="0.3">
      <c r="A79" s="733"/>
      <c r="B79" s="733"/>
      <c r="C79" s="733"/>
      <c r="D79" s="733"/>
      <c r="E79" s="733"/>
      <c r="F79" s="86" t="s">
        <v>354</v>
      </c>
      <c r="G79" s="459">
        <f t="shared" si="475"/>
        <v>3749036995</v>
      </c>
      <c r="H79" s="460">
        <f t="shared" ref="H79:DN79" si="480">H74+H77</f>
        <v>381900000</v>
      </c>
      <c r="I79" s="460">
        <f t="shared" si="480"/>
        <v>0</v>
      </c>
      <c r="J79" s="460">
        <f t="shared" si="480"/>
        <v>0</v>
      </c>
      <c r="K79" s="460">
        <f t="shared" si="480"/>
        <v>381900000</v>
      </c>
      <c r="L79" s="460">
        <f t="shared" si="480"/>
        <v>27401143</v>
      </c>
      <c r="M79" s="460">
        <f t="shared" si="480"/>
        <v>381900000</v>
      </c>
      <c r="N79" s="460">
        <f t="shared" si="480"/>
        <v>102981143</v>
      </c>
      <c r="O79" s="460">
        <f t="shared" si="480"/>
        <v>303900000</v>
      </c>
      <c r="P79" s="460">
        <f t="shared" si="480"/>
        <v>119147442</v>
      </c>
      <c r="Q79" s="460">
        <f t="shared" si="480"/>
        <v>225075000</v>
      </c>
      <c r="R79" s="460">
        <f t="shared" si="480"/>
        <v>121576922</v>
      </c>
      <c r="S79" s="460">
        <f t="shared" si="480"/>
        <v>225075000</v>
      </c>
      <c r="T79" s="460">
        <f t="shared" si="480"/>
        <v>168075108</v>
      </c>
      <c r="U79" s="460">
        <f t="shared" si="480"/>
        <v>225075000</v>
      </c>
      <c r="V79" s="460">
        <f t="shared" si="480"/>
        <v>219942147</v>
      </c>
      <c r="W79" s="460">
        <f t="shared" si="480"/>
        <v>381900000</v>
      </c>
      <c r="X79" s="460">
        <f t="shared" si="480"/>
        <v>381900000</v>
      </c>
      <c r="Y79" s="460">
        <f t="shared" si="480"/>
        <v>219942147</v>
      </c>
      <c r="Z79" s="460">
        <f t="shared" si="480"/>
        <v>225075000</v>
      </c>
      <c r="AA79" s="460">
        <f t="shared" si="480"/>
        <v>219942147</v>
      </c>
      <c r="AB79" s="460">
        <f t="shared" si="480"/>
        <v>883534233</v>
      </c>
      <c r="AC79" s="460">
        <f t="shared" si="480"/>
        <v>11357200</v>
      </c>
      <c r="AD79" s="460">
        <f t="shared" si="480"/>
        <v>11357200</v>
      </c>
      <c r="AE79" s="460">
        <f t="shared" si="480"/>
        <v>128720065</v>
      </c>
      <c r="AF79" s="460">
        <f t="shared" si="480"/>
        <v>128720065</v>
      </c>
      <c r="AG79" s="460">
        <f t="shared" si="480"/>
        <v>364659330</v>
      </c>
      <c r="AH79" s="460">
        <f t="shared" si="480"/>
        <v>364659330</v>
      </c>
      <c r="AI79" s="460">
        <f t="shared" si="480"/>
        <v>195444727</v>
      </c>
      <c r="AJ79" s="460">
        <f t="shared" si="480"/>
        <v>195444727</v>
      </c>
      <c r="AK79" s="460">
        <f t="shared" si="480"/>
        <v>0</v>
      </c>
      <c r="AL79" s="460">
        <f t="shared" si="480"/>
        <v>0</v>
      </c>
      <c r="AM79" s="460">
        <f t="shared" si="480"/>
        <v>89884840</v>
      </c>
      <c r="AN79" s="460">
        <f t="shared" si="480"/>
        <v>68476840</v>
      </c>
      <c r="AO79" s="460">
        <f t="shared" si="480"/>
        <v>908965</v>
      </c>
      <c r="AP79" s="460">
        <f t="shared" si="480"/>
        <v>1687875</v>
      </c>
      <c r="AQ79" s="460">
        <f t="shared" si="480"/>
        <v>-490600</v>
      </c>
      <c r="AR79" s="460">
        <f t="shared" si="480"/>
        <v>-490600</v>
      </c>
      <c r="AS79" s="460">
        <f t="shared" si="480"/>
        <v>15000167</v>
      </c>
      <c r="AT79" s="460">
        <f t="shared" si="480"/>
        <v>20000000</v>
      </c>
      <c r="AU79" s="460">
        <f t="shared" si="480"/>
        <v>9525000</v>
      </c>
      <c r="AV79" s="460">
        <f t="shared" si="480"/>
        <v>20964600</v>
      </c>
      <c r="AW79" s="460">
        <f t="shared" si="480"/>
        <v>474833</v>
      </c>
      <c r="AX79" s="460">
        <f t="shared" si="480"/>
        <v>35001627</v>
      </c>
      <c r="AY79" s="460">
        <f t="shared" si="480"/>
        <v>66629733</v>
      </c>
      <c r="AZ79" s="460">
        <f t="shared" si="480"/>
        <v>14668333</v>
      </c>
      <c r="BA79" s="460">
        <f t="shared" si="480"/>
        <v>882114260</v>
      </c>
      <c r="BB79" s="460">
        <f t="shared" si="480"/>
        <v>882114260</v>
      </c>
      <c r="BC79" s="460">
        <f t="shared" si="480"/>
        <v>860489997</v>
      </c>
      <c r="BD79" s="460">
        <f t="shared" si="480"/>
        <v>882114260</v>
      </c>
      <c r="BE79" s="460">
        <f t="shared" si="480"/>
        <v>860489997</v>
      </c>
      <c r="BF79" s="460">
        <f t="shared" si="480"/>
        <v>852663535</v>
      </c>
      <c r="BG79" s="460">
        <f t="shared" si="480"/>
        <v>677598399</v>
      </c>
      <c r="BH79" s="460">
        <f t="shared" si="480"/>
        <v>677598399</v>
      </c>
      <c r="BI79" s="460">
        <f t="shared" si="480"/>
        <v>118548368</v>
      </c>
      <c r="BJ79" s="460">
        <f t="shared" si="480"/>
        <v>10950500</v>
      </c>
      <c r="BK79" s="460">
        <f t="shared" si="480"/>
        <v>21594000</v>
      </c>
      <c r="BL79" s="460">
        <f t="shared" si="480"/>
        <v>11105250</v>
      </c>
      <c r="BM79" s="460">
        <f t="shared" si="480"/>
        <v>15865935</v>
      </c>
      <c r="BN79" s="460">
        <f t="shared" si="480"/>
        <v>1540000</v>
      </c>
      <c r="BO79" s="460">
        <f t="shared" si="480"/>
        <v>0</v>
      </c>
      <c r="BP79" s="460">
        <f t="shared" si="480"/>
        <v>6460852</v>
      </c>
      <c r="BQ79" s="460">
        <f t="shared" si="480"/>
        <v>0</v>
      </c>
      <c r="BR79" s="460">
        <f t="shared" si="480"/>
        <v>8000000</v>
      </c>
      <c r="BS79" s="460">
        <f t="shared" si="480"/>
        <v>-1014900</v>
      </c>
      <c r="BT79" s="460">
        <f t="shared" si="480"/>
        <v>6580573</v>
      </c>
      <c r="BU79" s="460">
        <f t="shared" si="480"/>
        <v>850000</v>
      </c>
      <c r="BV79" s="460">
        <f t="shared" si="480"/>
        <v>0</v>
      </c>
      <c r="BW79" s="460">
        <f t="shared" si="480"/>
        <v>17874200</v>
      </c>
      <c r="BX79" s="460">
        <f t="shared" si="480"/>
        <v>55810023</v>
      </c>
      <c r="BY79" s="460">
        <f t="shared" si="480"/>
        <v>-7826001</v>
      </c>
      <c r="BZ79" s="460">
        <f t="shared" si="480"/>
        <v>3513429</v>
      </c>
      <c r="CA79" s="460">
        <f t="shared" si="480"/>
        <v>0</v>
      </c>
      <c r="CB79" s="460">
        <f t="shared" si="480"/>
        <v>19502500</v>
      </c>
      <c r="CC79" s="460">
        <f t="shared" si="480"/>
        <v>0</v>
      </c>
      <c r="CD79" s="460">
        <f t="shared" si="480"/>
        <v>27062256</v>
      </c>
      <c r="CE79" s="460">
        <f t="shared" si="480"/>
        <v>843490001</v>
      </c>
      <c r="CF79" s="460">
        <f t="shared" si="480"/>
        <v>843490001</v>
      </c>
      <c r="CG79" s="460">
        <f t="shared" si="480"/>
        <v>828123782</v>
      </c>
      <c r="CH79" s="460">
        <f t="shared" si="480"/>
        <v>843490001</v>
      </c>
      <c r="CI79" s="460">
        <f t="shared" si="480"/>
        <v>828123782</v>
      </c>
      <c r="CJ79" s="460">
        <f t="shared" si="480"/>
        <v>1048216864</v>
      </c>
      <c r="CK79" s="460">
        <f t="shared" si="480"/>
        <v>360649900</v>
      </c>
      <c r="CL79" s="460">
        <f t="shared" si="480"/>
        <v>360649900</v>
      </c>
      <c r="CM79" s="460">
        <f t="shared" si="480"/>
        <v>187105778</v>
      </c>
      <c r="CN79" s="460">
        <f t="shared" si="480"/>
        <v>187105778</v>
      </c>
      <c r="CO79" s="460">
        <f t="shared" si="480"/>
        <v>130695120</v>
      </c>
      <c r="CP79" s="460">
        <f t="shared" si="480"/>
        <v>130695120</v>
      </c>
      <c r="CQ79" s="460">
        <f t="shared" si="480"/>
        <v>123014000</v>
      </c>
      <c r="CR79" s="460">
        <f t="shared" si="480"/>
        <v>57001945.24000001</v>
      </c>
      <c r="CS79" s="460">
        <f t="shared" si="480"/>
        <v>96820593</v>
      </c>
      <c r="CT79" s="460">
        <f t="shared" si="480"/>
        <v>115558843</v>
      </c>
      <c r="CU79" s="460">
        <f t="shared" si="480"/>
        <v>25186500</v>
      </c>
      <c r="CV79" s="460">
        <f t="shared" si="480"/>
        <v>60648203</v>
      </c>
      <c r="CW79" s="460">
        <f t="shared" si="480"/>
        <v>17244000</v>
      </c>
      <c r="CX79" s="460">
        <f t="shared" si="480"/>
        <v>1316088</v>
      </c>
      <c r="CY79" s="460">
        <f t="shared" si="480"/>
        <v>0</v>
      </c>
      <c r="CZ79" s="460">
        <f t="shared" si="480"/>
        <v>4603392</v>
      </c>
      <c r="DA79" s="460">
        <f t="shared" si="480"/>
        <v>0</v>
      </c>
      <c r="DB79" s="460">
        <f t="shared" si="480"/>
        <v>10316088</v>
      </c>
      <c r="DC79" s="460">
        <f t="shared" si="480"/>
        <v>-3380233</v>
      </c>
      <c r="DD79" s="460">
        <f t="shared" si="480"/>
        <v>819945</v>
      </c>
      <c r="DE79" s="460">
        <f t="shared" si="480"/>
        <v>-79800000</v>
      </c>
      <c r="DF79" s="460">
        <f t="shared" si="480"/>
        <v>0</v>
      </c>
      <c r="DG79" s="460">
        <f t="shared" si="480"/>
        <v>105737412</v>
      </c>
      <c r="DH79" s="460">
        <f t="shared" si="480"/>
        <v>34544000</v>
      </c>
      <c r="DI79" s="460">
        <f t="shared" si="480"/>
        <v>963273069</v>
      </c>
      <c r="DJ79" s="460">
        <f t="shared" si="480"/>
        <v>963273070</v>
      </c>
      <c r="DK79" s="460">
        <f t="shared" si="480"/>
        <v>963259302.24000001</v>
      </c>
      <c r="DL79" s="460">
        <f t="shared" si="480"/>
        <v>963273069</v>
      </c>
      <c r="DM79" s="460">
        <f t="shared" si="480"/>
        <v>963259302.24000001</v>
      </c>
      <c r="DN79" s="460">
        <f t="shared" si="480"/>
        <v>877208000</v>
      </c>
      <c r="DO79" s="461"/>
      <c r="DP79" s="461"/>
      <c r="DQ79" s="461"/>
      <c r="DR79" s="461"/>
      <c r="DS79" s="461"/>
      <c r="DT79" s="461"/>
      <c r="DU79" s="461"/>
      <c r="DV79" s="461"/>
      <c r="DW79" s="461"/>
      <c r="DX79" s="461"/>
      <c r="DY79" s="461"/>
      <c r="DZ79" s="461"/>
      <c r="EA79" s="461"/>
      <c r="EB79" s="461"/>
      <c r="EC79" s="461"/>
      <c r="ED79" s="461"/>
      <c r="EE79" s="461"/>
      <c r="EF79" s="461"/>
      <c r="EG79" s="461"/>
      <c r="EH79" s="461"/>
      <c r="EI79" s="461"/>
      <c r="EJ79" s="461"/>
      <c r="EK79" s="461"/>
      <c r="EL79" s="461"/>
      <c r="EM79" s="462">
        <f>EK79+EI79+EG79+EE79+EC79+EA79+DY79+DW79+DU79+DS79+DQ79+DO79</f>
        <v>0</v>
      </c>
      <c r="EN79" s="463">
        <f>+EN74+EN77</f>
        <v>0</v>
      </c>
      <c r="EO79" s="463">
        <f>EO74+EO77</f>
        <v>0</v>
      </c>
      <c r="EP79" s="463">
        <f>+EP74+EP77</f>
        <v>0</v>
      </c>
      <c r="EQ79" s="463"/>
      <c r="ER79" s="464">
        <f>DH79/DG79</f>
        <v>0.32669609882261919</v>
      </c>
      <c r="ES79" s="464">
        <f>DK79/DJ79</f>
        <v>0.99998570731350356</v>
      </c>
      <c r="ET79" s="465">
        <f t="shared" si="472"/>
        <v>0.99998570835161593</v>
      </c>
      <c r="EU79" s="465">
        <f>(AA79+BE79+CI79+DK79)/(Z79+BD79+CH79+DJ79)</f>
        <v>0.98553953600691202</v>
      </c>
      <c r="EV79" s="466">
        <f>(AA79+BE79+CI79+DM79)/G79</f>
        <v>0.76601410764152777</v>
      </c>
      <c r="EW79" s="768"/>
      <c r="EX79" s="735"/>
      <c r="EY79" s="735"/>
      <c r="EZ79" s="735"/>
      <c r="FA79" s="735"/>
      <c r="FB79" s="770"/>
      <c r="FC79" s="95"/>
      <c r="FD79" s="95"/>
    </row>
    <row r="80" spans="1:160" ht="39.75" customHeight="1" x14ac:dyDescent="0.25">
      <c r="A80" s="749" t="s">
        <v>384</v>
      </c>
      <c r="B80" s="750"/>
      <c r="C80" s="750"/>
      <c r="D80" s="750"/>
      <c r="E80" s="751"/>
      <c r="F80" s="97" t="s">
        <v>385</v>
      </c>
      <c r="G80" s="500">
        <f>G11+G18+G25+G32+G39+G46+G53+G60+G67+G74</f>
        <v>20294508017</v>
      </c>
      <c r="H80" s="501">
        <f t="shared" ref="H80:Z80" si="481">+H11+H18+H25+H39+H46+H53+H60+H67+H74</f>
        <v>2430913490</v>
      </c>
      <c r="I80" s="501">
        <f t="shared" si="481"/>
        <v>0</v>
      </c>
      <c r="J80" s="501">
        <f t="shared" si="481"/>
        <v>0</v>
      </c>
      <c r="K80" s="501">
        <f t="shared" si="481"/>
        <v>2430913490</v>
      </c>
      <c r="L80" s="501">
        <f t="shared" si="481"/>
        <v>536091143</v>
      </c>
      <c r="M80" s="501">
        <f t="shared" si="481"/>
        <v>2430913490</v>
      </c>
      <c r="N80" s="501">
        <f t="shared" si="481"/>
        <v>1639621143</v>
      </c>
      <c r="O80" s="501">
        <f t="shared" si="481"/>
        <v>2430913490</v>
      </c>
      <c r="P80" s="501">
        <f t="shared" si="481"/>
        <v>1683036442</v>
      </c>
      <c r="Q80" s="501">
        <f t="shared" si="481"/>
        <v>2430913490</v>
      </c>
      <c r="R80" s="501">
        <f t="shared" si="481"/>
        <v>1685465922</v>
      </c>
      <c r="S80" s="501">
        <f t="shared" si="481"/>
        <v>2425566490</v>
      </c>
      <c r="T80" s="501">
        <f t="shared" si="481"/>
        <v>1856914271</v>
      </c>
      <c r="U80" s="501">
        <f t="shared" si="481"/>
        <v>2425566490</v>
      </c>
      <c r="V80" s="501">
        <f t="shared" si="481"/>
        <v>2349308440</v>
      </c>
      <c r="W80" s="501">
        <f t="shared" si="481"/>
        <v>2430913490</v>
      </c>
      <c r="X80" s="501">
        <f t="shared" si="481"/>
        <v>2430913490</v>
      </c>
      <c r="Y80" s="501">
        <f t="shared" si="481"/>
        <v>2349308440</v>
      </c>
      <c r="Z80" s="501">
        <f t="shared" si="481"/>
        <v>2425566490</v>
      </c>
      <c r="AA80" s="501">
        <f>+AA11+AA18+AA25+AA39+AA46+AA53+AA60+AA67+AA74+AA32</f>
        <v>2444467440</v>
      </c>
      <c r="AB80" s="501">
        <f>+AB11+AB18+AB25+AB32+AB39+AB46+AB53+AB60+AB67+AB74</f>
        <v>3459505000</v>
      </c>
      <c r="AC80" s="501">
        <f t="shared" ref="AC80:AP80" si="482">+AC11+AC18+AC25+AC39+AC46+AC53+AC60+AC67+AC74</f>
        <v>0</v>
      </c>
      <c r="AD80" s="501">
        <f t="shared" si="482"/>
        <v>0</v>
      </c>
      <c r="AE80" s="501">
        <f t="shared" si="482"/>
        <v>1382696694</v>
      </c>
      <c r="AF80" s="501">
        <f t="shared" si="482"/>
        <v>1382696694</v>
      </c>
      <c r="AG80" s="501">
        <f t="shared" si="482"/>
        <v>1038223000</v>
      </c>
      <c r="AH80" s="501">
        <f t="shared" si="482"/>
        <v>1038223000</v>
      </c>
      <c r="AI80" s="501">
        <f t="shared" si="482"/>
        <v>207881000</v>
      </c>
      <c r="AJ80" s="501">
        <f t="shared" si="482"/>
        <v>207881000</v>
      </c>
      <c r="AK80" s="501">
        <f t="shared" si="482"/>
        <v>0</v>
      </c>
      <c r="AL80" s="501">
        <f t="shared" si="482"/>
        <v>0</v>
      </c>
      <c r="AM80" s="501">
        <f t="shared" si="482"/>
        <v>141921772</v>
      </c>
      <c r="AN80" s="501">
        <f t="shared" si="482"/>
        <v>128629200</v>
      </c>
      <c r="AO80" s="501">
        <f t="shared" si="482"/>
        <v>8622572</v>
      </c>
      <c r="AP80" s="501">
        <f t="shared" si="482"/>
        <v>778910</v>
      </c>
      <c r="AQ80" s="501">
        <f>+AS11+AQ18+AQ25+AQ39+AQ46+AQ53+AQ60+AQ67+AQ74</f>
        <v>97297856</v>
      </c>
      <c r="AR80" s="501">
        <f>+AR11+AR18+AR25+AR39+AR46+AR53+AR60+AR67+AR74</f>
        <v>43542000</v>
      </c>
      <c r="AS80" s="501">
        <f>+AU11+AS18+AS25+AS39+AS46+AS53+AS60+AS67+AS74</f>
        <v>335789389</v>
      </c>
      <c r="AT80" s="501">
        <f t="shared" ref="AT80:AZ80" si="483">+AT11+AT18+AT25+AT39+AT46+AT53+AT60+AT67+AT74</f>
        <v>265821000</v>
      </c>
      <c r="AU80" s="501">
        <f t="shared" si="483"/>
        <v>105505000</v>
      </c>
      <c r="AV80" s="501">
        <f t="shared" si="483"/>
        <v>37714900</v>
      </c>
      <c r="AW80" s="501">
        <f t="shared" si="483"/>
        <v>4528833</v>
      </c>
      <c r="AX80" s="501">
        <f t="shared" si="483"/>
        <v>104244727</v>
      </c>
      <c r="AY80" s="501">
        <f t="shared" si="483"/>
        <v>71252200</v>
      </c>
      <c r="AZ80" s="501">
        <f t="shared" si="483"/>
        <v>56021733</v>
      </c>
      <c r="BA80" s="501">
        <f t="shared" ref="BA80:CE80" si="484">+BA11+BA18+BA25+BA32+BA39+BA46+BA53+BA60+BA67+BA74</f>
        <v>3454840816</v>
      </c>
      <c r="BB80" s="501">
        <f t="shared" si="484"/>
        <v>3454840816</v>
      </c>
      <c r="BC80" s="501">
        <f t="shared" si="484"/>
        <v>3342341664</v>
      </c>
      <c r="BD80" s="501">
        <f t="shared" si="484"/>
        <v>3454840816</v>
      </c>
      <c r="BE80" s="501">
        <f t="shared" si="484"/>
        <v>3342341664</v>
      </c>
      <c r="BF80" s="501">
        <f t="shared" si="484"/>
        <v>3695776000</v>
      </c>
      <c r="BG80" s="501">
        <f t="shared" si="484"/>
        <v>3356030000</v>
      </c>
      <c r="BH80" s="501">
        <f t="shared" si="484"/>
        <v>3356030000</v>
      </c>
      <c r="BI80" s="501">
        <f t="shared" si="484"/>
        <v>148188000</v>
      </c>
      <c r="BJ80" s="501">
        <f t="shared" si="484"/>
        <v>0</v>
      </c>
      <c r="BK80" s="501">
        <f t="shared" si="484"/>
        <v>25148334</v>
      </c>
      <c r="BL80" s="501">
        <f t="shared" si="484"/>
        <v>2457000</v>
      </c>
      <c r="BM80" s="501">
        <f t="shared" si="484"/>
        <v>425000</v>
      </c>
      <c r="BN80" s="501">
        <f t="shared" si="484"/>
        <v>1540000</v>
      </c>
      <c r="BO80" s="501">
        <f t="shared" si="484"/>
        <v>0</v>
      </c>
      <c r="BP80" s="501">
        <f t="shared" si="484"/>
        <v>0</v>
      </c>
      <c r="BQ80" s="501">
        <f t="shared" si="484"/>
        <v>835200</v>
      </c>
      <c r="BR80" s="501">
        <f t="shared" si="484"/>
        <v>56398000</v>
      </c>
      <c r="BS80" s="501">
        <f t="shared" si="484"/>
        <v>140000000</v>
      </c>
      <c r="BT80" s="501">
        <f t="shared" si="484"/>
        <v>148160573</v>
      </c>
      <c r="BU80" s="501">
        <f t="shared" si="484"/>
        <v>850000</v>
      </c>
      <c r="BV80" s="501">
        <f t="shared" si="484"/>
        <v>0</v>
      </c>
      <c r="BW80" s="501">
        <f t="shared" si="484"/>
        <v>114927800</v>
      </c>
      <c r="BX80" s="501">
        <f t="shared" si="484"/>
        <v>166431357</v>
      </c>
      <c r="BY80" s="501">
        <f t="shared" si="484"/>
        <v>64058934</v>
      </c>
      <c r="BZ80" s="501">
        <f t="shared" si="484"/>
        <v>43877829</v>
      </c>
      <c r="CA80" s="501">
        <f t="shared" si="484"/>
        <v>384169466</v>
      </c>
      <c r="CB80" s="501">
        <f t="shared" si="484"/>
        <v>112758499</v>
      </c>
      <c r="CC80" s="501">
        <f t="shared" si="484"/>
        <v>17399028</v>
      </c>
      <c r="CD80" s="501">
        <f t="shared" si="484"/>
        <v>85445655</v>
      </c>
      <c r="CE80" s="501">
        <f t="shared" si="484"/>
        <v>4252031762</v>
      </c>
      <c r="CF80" s="501">
        <f t="shared" ref="CF80:CF81" si="485">+BG80+BI80+BK80+BM80+BO80+BQ80+BS80+BU80+BW80+BY80+CA80+CC80</f>
        <v>4252031762</v>
      </c>
      <c r="CG80" s="501">
        <f t="shared" ref="CG80:DI80" si="486">+CG11+CG18+CG25+CG32+CG39+CG46+CG53+CG60+CG67+CG74</f>
        <v>3973098913</v>
      </c>
      <c r="CH80" s="501">
        <f t="shared" si="486"/>
        <v>4252031762</v>
      </c>
      <c r="CI80" s="501">
        <f t="shared" si="486"/>
        <v>3973098913</v>
      </c>
      <c r="CJ80" s="501">
        <f t="shared" si="486"/>
        <v>4845293000</v>
      </c>
      <c r="CK80" s="501">
        <f t="shared" si="486"/>
        <v>727612000</v>
      </c>
      <c r="CL80" s="501">
        <f t="shared" si="486"/>
        <v>727612000</v>
      </c>
      <c r="CM80" s="501">
        <f t="shared" si="486"/>
        <v>2224574000</v>
      </c>
      <c r="CN80" s="501">
        <f t="shared" si="486"/>
        <v>2224574000</v>
      </c>
      <c r="CO80" s="501">
        <f t="shared" si="486"/>
        <v>271209526</v>
      </c>
      <c r="CP80" s="501">
        <f t="shared" si="486"/>
        <v>271209526</v>
      </c>
      <c r="CQ80" s="501">
        <f t="shared" si="486"/>
        <v>109794000</v>
      </c>
      <c r="CR80" s="501">
        <f t="shared" si="486"/>
        <v>83054610</v>
      </c>
      <c r="CS80" s="501">
        <f t="shared" si="486"/>
        <v>825325000</v>
      </c>
      <c r="CT80" s="501">
        <f t="shared" si="486"/>
        <v>25865610</v>
      </c>
      <c r="CU80" s="501">
        <f t="shared" si="486"/>
        <v>162817000</v>
      </c>
      <c r="CV80" s="501">
        <f t="shared" si="486"/>
        <v>17050466</v>
      </c>
      <c r="CW80" s="501">
        <f t="shared" si="486"/>
        <v>18744000</v>
      </c>
      <c r="CX80" s="501">
        <f t="shared" si="486"/>
        <v>545898088</v>
      </c>
      <c r="CY80" s="501">
        <f t="shared" si="486"/>
        <v>0</v>
      </c>
      <c r="CZ80" s="501">
        <f t="shared" si="486"/>
        <v>164268088</v>
      </c>
      <c r="DA80" s="501">
        <f t="shared" si="486"/>
        <v>-10146501</v>
      </c>
      <c r="DB80" s="501">
        <f t="shared" si="486"/>
        <v>103907088</v>
      </c>
      <c r="DC80" s="501">
        <f t="shared" si="486"/>
        <v>50000000</v>
      </c>
      <c r="DD80" s="501">
        <f t="shared" si="486"/>
        <v>734524</v>
      </c>
      <c r="DE80" s="501">
        <f t="shared" si="486"/>
        <v>19938000</v>
      </c>
      <c r="DF80" s="501">
        <f t="shared" si="486"/>
        <v>35395000</v>
      </c>
      <c r="DG80" s="501">
        <f t="shared" si="486"/>
        <v>322920975</v>
      </c>
      <c r="DH80" s="501">
        <f t="shared" si="486"/>
        <v>288014436</v>
      </c>
      <c r="DI80" s="502">
        <f t="shared" si="486"/>
        <v>4722788000</v>
      </c>
      <c r="DJ80" s="502">
        <f t="shared" ref="DJ80:DJ82" si="487">CK80+CM80+CO80+CQ80+CS80+CU80+CW80</f>
        <v>4340075526</v>
      </c>
      <c r="DK80" s="502">
        <f t="shared" ref="DK80:DN80" si="488">+DK11+DK18+DK25+DK32+DK39+DK46+DK53+DK60+DK67+DK74</f>
        <v>4487583436</v>
      </c>
      <c r="DL80" s="502">
        <f t="shared" si="488"/>
        <v>4722788000</v>
      </c>
      <c r="DM80" s="502">
        <f t="shared" si="488"/>
        <v>4487583436</v>
      </c>
      <c r="DN80" s="503">
        <f t="shared" si="488"/>
        <v>5811812000</v>
      </c>
      <c r="DO80" s="499"/>
      <c r="DP80" s="498"/>
      <c r="DQ80" s="498"/>
      <c r="DR80" s="498"/>
      <c r="DS80" s="498"/>
      <c r="DT80" s="498"/>
      <c r="DU80" s="498"/>
      <c r="DV80" s="498"/>
      <c r="DW80" s="498"/>
      <c r="DX80" s="498"/>
      <c r="DY80" s="498"/>
      <c r="DZ80" s="498"/>
      <c r="EA80" s="498"/>
      <c r="EB80" s="498"/>
      <c r="EC80" s="498"/>
      <c r="ED80" s="498"/>
      <c r="EE80" s="498"/>
      <c r="EF80" s="498"/>
      <c r="EG80" s="498"/>
      <c r="EH80" s="498"/>
      <c r="EI80" s="498"/>
      <c r="EJ80" s="498"/>
      <c r="EK80" s="498"/>
      <c r="EL80" s="498"/>
      <c r="EM80" s="498"/>
      <c r="EN80" s="498"/>
      <c r="EO80" s="498"/>
      <c r="EP80" s="498"/>
      <c r="EQ80" s="498"/>
      <c r="ER80" s="757"/>
      <c r="ES80" s="758"/>
      <c r="ET80" s="758"/>
      <c r="EU80" s="758"/>
      <c r="EV80" s="758"/>
      <c r="EW80" s="759"/>
      <c r="EX80" s="759"/>
      <c r="EY80" s="759"/>
      <c r="EZ80" s="759"/>
      <c r="FA80" s="760"/>
      <c r="FB80" s="98"/>
      <c r="FC80" s="99"/>
      <c r="FD80" s="99"/>
    </row>
    <row r="81" spans="1:160" ht="41.25" customHeight="1" x14ac:dyDescent="0.25">
      <c r="A81" s="672"/>
      <c r="B81" s="673"/>
      <c r="C81" s="673"/>
      <c r="D81" s="673"/>
      <c r="E81" s="752"/>
      <c r="F81" s="100" t="s">
        <v>386</v>
      </c>
      <c r="G81" s="504">
        <f>G14+G23+G28+G35+G42+G49+G56+G63+G70+G77</f>
        <v>2809759170</v>
      </c>
      <c r="H81" s="505">
        <f t="shared" ref="H81:BA81" si="489">+H14+H21+H28+H35+H42+H49+H56+H63+H70+H77</f>
        <v>0</v>
      </c>
      <c r="I81" s="505">
        <f t="shared" si="489"/>
        <v>0</v>
      </c>
      <c r="J81" s="505">
        <f t="shared" si="489"/>
        <v>0</v>
      </c>
      <c r="K81" s="505">
        <f t="shared" si="489"/>
        <v>0</v>
      </c>
      <c r="L81" s="505">
        <f t="shared" si="489"/>
        <v>0</v>
      </c>
      <c r="M81" s="505">
        <f t="shared" si="489"/>
        <v>0</v>
      </c>
      <c r="N81" s="505">
        <f t="shared" si="489"/>
        <v>0</v>
      </c>
      <c r="O81" s="505">
        <f t="shared" si="489"/>
        <v>0</v>
      </c>
      <c r="P81" s="505">
        <f t="shared" si="489"/>
        <v>0</v>
      </c>
      <c r="Q81" s="505">
        <f t="shared" si="489"/>
        <v>0</v>
      </c>
      <c r="R81" s="505">
        <f t="shared" si="489"/>
        <v>0</v>
      </c>
      <c r="S81" s="505">
        <f t="shared" si="489"/>
        <v>0</v>
      </c>
      <c r="T81" s="505">
        <f t="shared" si="489"/>
        <v>0</v>
      </c>
      <c r="U81" s="505">
        <f t="shared" si="489"/>
        <v>0</v>
      </c>
      <c r="V81" s="505">
        <f t="shared" si="489"/>
        <v>0</v>
      </c>
      <c r="W81" s="505">
        <f t="shared" si="489"/>
        <v>0</v>
      </c>
      <c r="X81" s="505">
        <f t="shared" si="489"/>
        <v>0</v>
      </c>
      <c r="Y81" s="505">
        <f t="shared" si="489"/>
        <v>0</v>
      </c>
      <c r="Z81" s="505">
        <f t="shared" si="489"/>
        <v>0</v>
      </c>
      <c r="AA81" s="505">
        <f t="shared" si="489"/>
        <v>0</v>
      </c>
      <c r="AB81" s="505">
        <f t="shared" si="489"/>
        <v>793552573</v>
      </c>
      <c r="AC81" s="505">
        <f t="shared" si="489"/>
        <v>135468608</v>
      </c>
      <c r="AD81" s="505">
        <f t="shared" si="489"/>
        <v>135468608</v>
      </c>
      <c r="AE81" s="505">
        <f t="shared" si="489"/>
        <v>298385908</v>
      </c>
      <c r="AF81" s="505">
        <f t="shared" si="489"/>
        <v>298385908</v>
      </c>
      <c r="AG81" s="505">
        <f t="shared" si="489"/>
        <v>199080222</v>
      </c>
      <c r="AH81" s="505">
        <f t="shared" si="489"/>
        <v>199080222</v>
      </c>
      <c r="AI81" s="505">
        <f t="shared" si="489"/>
        <v>69428367</v>
      </c>
      <c r="AJ81" s="505">
        <f t="shared" si="489"/>
        <v>69428367</v>
      </c>
      <c r="AK81" s="505">
        <f t="shared" si="489"/>
        <v>33882400</v>
      </c>
      <c r="AL81" s="505">
        <f t="shared" si="489"/>
        <v>33882400</v>
      </c>
      <c r="AM81" s="505">
        <f t="shared" si="489"/>
        <v>24326236</v>
      </c>
      <c r="AN81" s="505">
        <f t="shared" si="489"/>
        <v>24326236</v>
      </c>
      <c r="AO81" s="505">
        <f t="shared" si="489"/>
        <v>32919965</v>
      </c>
      <c r="AP81" s="505">
        <f t="shared" si="489"/>
        <v>32919965</v>
      </c>
      <c r="AQ81" s="505">
        <f t="shared" si="489"/>
        <v>-429733</v>
      </c>
      <c r="AR81" s="505">
        <f t="shared" si="489"/>
        <v>-490600</v>
      </c>
      <c r="AS81" s="505">
        <f t="shared" si="489"/>
        <v>0</v>
      </c>
      <c r="AT81" s="505">
        <f t="shared" si="489"/>
        <v>0</v>
      </c>
      <c r="AU81" s="505">
        <f t="shared" si="489"/>
        <v>-60867</v>
      </c>
      <c r="AV81" s="505">
        <f t="shared" si="489"/>
        <v>0</v>
      </c>
      <c r="AW81" s="505">
        <f t="shared" si="489"/>
        <v>0</v>
      </c>
      <c r="AX81" s="505">
        <f t="shared" si="489"/>
        <v>0</v>
      </c>
      <c r="AY81" s="505">
        <f t="shared" si="489"/>
        <v>0</v>
      </c>
      <c r="AZ81" s="505">
        <f t="shared" si="489"/>
        <v>0</v>
      </c>
      <c r="BA81" s="505">
        <f t="shared" si="489"/>
        <v>793001106</v>
      </c>
      <c r="BB81" s="505">
        <f>AC81+AE81+AG81+AI81+AK81+AM81+AO81+AQ81+AS81+AU81+AW81</f>
        <v>793001106</v>
      </c>
      <c r="BC81" s="505">
        <f t="shared" ref="BC81:CE81" si="490">+BC14+BC21+BC28+BC35+BC42+BC49+BC56+BC63+BC70+BC77</f>
        <v>793001106</v>
      </c>
      <c r="BD81" s="505">
        <f t="shared" si="490"/>
        <v>793001106</v>
      </c>
      <c r="BE81" s="505">
        <f t="shared" si="490"/>
        <v>793001106</v>
      </c>
      <c r="BF81" s="505">
        <f t="shared" si="490"/>
        <v>368710400</v>
      </c>
      <c r="BG81" s="505">
        <f t="shared" si="490"/>
        <v>220075799</v>
      </c>
      <c r="BH81" s="505">
        <f t="shared" si="490"/>
        <v>220075799</v>
      </c>
      <c r="BI81" s="505">
        <f t="shared" si="490"/>
        <v>107918101</v>
      </c>
      <c r="BJ81" s="505">
        <f t="shared" si="490"/>
        <v>84479433</v>
      </c>
      <c r="BK81" s="505">
        <f t="shared" si="490"/>
        <v>0</v>
      </c>
      <c r="BL81" s="505">
        <f t="shared" si="490"/>
        <v>29562034</v>
      </c>
      <c r="BM81" s="505">
        <f t="shared" si="490"/>
        <v>32099868</v>
      </c>
      <c r="BN81" s="505">
        <f t="shared" si="490"/>
        <v>6940000</v>
      </c>
      <c r="BO81" s="505">
        <f t="shared" si="490"/>
        <v>0</v>
      </c>
      <c r="BP81" s="505">
        <f t="shared" si="490"/>
        <v>18020801</v>
      </c>
      <c r="BQ81" s="505">
        <f t="shared" si="490"/>
        <v>0</v>
      </c>
      <c r="BR81" s="505">
        <f t="shared" si="490"/>
        <v>0</v>
      </c>
      <c r="BS81" s="505">
        <f t="shared" si="490"/>
        <v>-1014900</v>
      </c>
      <c r="BT81" s="505">
        <f t="shared" si="490"/>
        <v>0</v>
      </c>
      <c r="BU81" s="505">
        <f t="shared" si="490"/>
        <v>0</v>
      </c>
      <c r="BV81" s="505">
        <f t="shared" si="490"/>
        <v>0</v>
      </c>
      <c r="BW81" s="505">
        <f t="shared" si="490"/>
        <v>-800</v>
      </c>
      <c r="BX81" s="505">
        <f t="shared" si="490"/>
        <v>0</v>
      </c>
      <c r="BY81" s="505">
        <f t="shared" si="490"/>
        <v>-1</v>
      </c>
      <c r="BZ81" s="505">
        <f t="shared" si="490"/>
        <v>0</v>
      </c>
      <c r="CA81" s="505">
        <f t="shared" si="490"/>
        <v>0</v>
      </c>
      <c r="CB81" s="505">
        <f t="shared" si="490"/>
        <v>0</v>
      </c>
      <c r="CC81" s="505">
        <f t="shared" si="490"/>
        <v>0</v>
      </c>
      <c r="CD81" s="505">
        <f t="shared" si="490"/>
        <v>0</v>
      </c>
      <c r="CE81" s="505">
        <f t="shared" si="490"/>
        <v>359078067</v>
      </c>
      <c r="CF81" s="505">
        <f t="shared" si="485"/>
        <v>359078067</v>
      </c>
      <c r="CG81" s="505">
        <f t="shared" ref="CG81:DI81" si="491">+CG14+CG21+CG28+CG35+CG42+CG49+CG56+CG63+CG70+CG77</f>
        <v>359078067</v>
      </c>
      <c r="CH81" s="505">
        <f t="shared" si="491"/>
        <v>359078067</v>
      </c>
      <c r="CI81" s="505">
        <f t="shared" si="491"/>
        <v>359078067</v>
      </c>
      <c r="CJ81" s="506">
        <f t="shared" si="491"/>
        <v>650636963</v>
      </c>
      <c r="CK81" s="505">
        <f t="shared" si="491"/>
        <v>160245065</v>
      </c>
      <c r="CL81" s="505">
        <f t="shared" si="491"/>
        <v>160245065</v>
      </c>
      <c r="CM81" s="505">
        <f t="shared" si="491"/>
        <v>92781241</v>
      </c>
      <c r="CN81" s="505">
        <f t="shared" si="491"/>
        <v>92781241</v>
      </c>
      <c r="CO81" s="505">
        <f t="shared" si="491"/>
        <v>47873985</v>
      </c>
      <c r="CP81" s="505">
        <f t="shared" si="491"/>
        <v>47873985</v>
      </c>
      <c r="CQ81" s="505">
        <f t="shared" si="491"/>
        <v>160325900</v>
      </c>
      <c r="CR81" s="505">
        <f t="shared" si="491"/>
        <v>78049321.24000001</v>
      </c>
      <c r="CS81" s="505">
        <f t="shared" si="491"/>
        <v>137535868</v>
      </c>
      <c r="CT81" s="505">
        <f t="shared" si="491"/>
        <v>132160850</v>
      </c>
      <c r="CU81" s="505">
        <f t="shared" si="491"/>
        <v>49835696</v>
      </c>
      <c r="CV81" s="505">
        <f t="shared" si="491"/>
        <v>116663469</v>
      </c>
      <c r="CW81" s="505">
        <f t="shared" si="491"/>
        <v>0</v>
      </c>
      <c r="CX81" s="505">
        <f t="shared" si="491"/>
        <v>335460</v>
      </c>
      <c r="CY81" s="505">
        <f t="shared" si="491"/>
        <v>0</v>
      </c>
      <c r="CZ81" s="505">
        <f t="shared" si="491"/>
        <v>3152304</v>
      </c>
      <c r="DA81" s="505">
        <f t="shared" si="491"/>
        <v>0</v>
      </c>
      <c r="DB81" s="505">
        <f t="shared" si="491"/>
        <v>0</v>
      </c>
      <c r="DC81" s="505">
        <f t="shared" si="491"/>
        <v>0</v>
      </c>
      <c r="DD81" s="505">
        <f t="shared" si="491"/>
        <v>17273802</v>
      </c>
      <c r="DE81" s="505">
        <f t="shared" si="491"/>
        <v>0</v>
      </c>
      <c r="DF81" s="505">
        <f t="shared" si="491"/>
        <v>0</v>
      </c>
      <c r="DG81" s="505">
        <f t="shared" si="491"/>
        <v>-62257</v>
      </c>
      <c r="DH81" s="505">
        <f t="shared" si="491"/>
        <v>0</v>
      </c>
      <c r="DI81" s="507">
        <f t="shared" si="491"/>
        <v>648535497</v>
      </c>
      <c r="DJ81" s="508">
        <f t="shared" si="487"/>
        <v>648597755</v>
      </c>
      <c r="DK81" s="507">
        <f t="shared" ref="DK81:DN81" si="492">+DK14+DK21+DK28+DK35+DK42+DK49+DK56+DK63+DK70+DK77</f>
        <v>648535497.24000001</v>
      </c>
      <c r="DL81" s="507">
        <f t="shared" si="492"/>
        <v>648535497</v>
      </c>
      <c r="DM81" s="507">
        <f t="shared" si="492"/>
        <v>648535497.24000001</v>
      </c>
      <c r="DN81" s="509">
        <f t="shared" si="492"/>
        <v>0</v>
      </c>
      <c r="DO81" s="445"/>
      <c r="DP81" s="411"/>
      <c r="DQ81" s="411"/>
      <c r="DR81" s="411"/>
      <c r="DS81" s="411"/>
      <c r="DT81" s="411"/>
      <c r="DU81" s="411"/>
      <c r="DV81" s="411"/>
      <c r="DW81" s="411"/>
      <c r="DX81" s="411"/>
      <c r="DY81" s="411"/>
      <c r="DZ81" s="411"/>
      <c r="EA81" s="411"/>
      <c r="EB81" s="411"/>
      <c r="EC81" s="411"/>
      <c r="ED81" s="411"/>
      <c r="EE81" s="411"/>
      <c r="EF81" s="411"/>
      <c r="EG81" s="411"/>
      <c r="EH81" s="411"/>
      <c r="EI81" s="411"/>
      <c r="EJ81" s="411"/>
      <c r="EK81" s="411"/>
      <c r="EL81" s="411"/>
      <c r="EM81" s="411"/>
      <c r="EN81" s="411"/>
      <c r="EO81" s="411"/>
      <c r="EP81" s="411"/>
      <c r="EQ81" s="411"/>
      <c r="ER81" s="761"/>
      <c r="ES81" s="762"/>
      <c r="ET81" s="762"/>
      <c r="EU81" s="762"/>
      <c r="EV81" s="762"/>
      <c r="EW81" s="762"/>
      <c r="EX81" s="762"/>
      <c r="EY81" s="762"/>
      <c r="EZ81" s="762"/>
      <c r="FA81" s="763"/>
      <c r="FB81" s="98"/>
      <c r="FC81" s="99"/>
      <c r="FD81" s="99"/>
    </row>
    <row r="82" spans="1:160" ht="53.25" customHeight="1" thickBot="1" x14ac:dyDescent="0.3">
      <c r="A82" s="675"/>
      <c r="B82" s="676"/>
      <c r="C82" s="676"/>
      <c r="D82" s="676"/>
      <c r="E82" s="753"/>
      <c r="F82" s="101" t="s">
        <v>387</v>
      </c>
      <c r="G82" s="510">
        <f t="shared" ref="G82:DI82" si="493">G80+G81</f>
        <v>23104267187</v>
      </c>
      <c r="H82" s="511">
        <f t="shared" si="493"/>
        <v>2430913490</v>
      </c>
      <c r="I82" s="511">
        <f t="shared" si="493"/>
        <v>0</v>
      </c>
      <c r="J82" s="511">
        <f t="shared" si="493"/>
        <v>0</v>
      </c>
      <c r="K82" s="511">
        <f t="shared" si="493"/>
        <v>2430913490</v>
      </c>
      <c r="L82" s="511">
        <f t="shared" si="493"/>
        <v>536091143</v>
      </c>
      <c r="M82" s="511">
        <f t="shared" si="493"/>
        <v>2430913490</v>
      </c>
      <c r="N82" s="511">
        <f t="shared" si="493"/>
        <v>1639621143</v>
      </c>
      <c r="O82" s="511">
        <f t="shared" si="493"/>
        <v>2430913490</v>
      </c>
      <c r="P82" s="511">
        <f t="shared" si="493"/>
        <v>1683036442</v>
      </c>
      <c r="Q82" s="511">
        <f t="shared" si="493"/>
        <v>2430913490</v>
      </c>
      <c r="R82" s="511">
        <f t="shared" si="493"/>
        <v>1685465922</v>
      </c>
      <c r="S82" s="511">
        <f t="shared" si="493"/>
        <v>2425566490</v>
      </c>
      <c r="T82" s="511">
        <f t="shared" si="493"/>
        <v>1856914271</v>
      </c>
      <c r="U82" s="511">
        <f t="shared" si="493"/>
        <v>2425566490</v>
      </c>
      <c r="V82" s="511">
        <f t="shared" si="493"/>
        <v>2349308440</v>
      </c>
      <c r="W82" s="511">
        <f t="shared" si="493"/>
        <v>2430913490</v>
      </c>
      <c r="X82" s="511">
        <f t="shared" si="493"/>
        <v>2430913490</v>
      </c>
      <c r="Y82" s="511">
        <f t="shared" si="493"/>
        <v>2349308440</v>
      </c>
      <c r="Z82" s="511">
        <f t="shared" si="493"/>
        <v>2425566490</v>
      </c>
      <c r="AA82" s="511">
        <f t="shared" si="493"/>
        <v>2444467440</v>
      </c>
      <c r="AB82" s="511">
        <f t="shared" si="493"/>
        <v>4253057573</v>
      </c>
      <c r="AC82" s="511">
        <f t="shared" si="493"/>
        <v>135468608</v>
      </c>
      <c r="AD82" s="511">
        <f t="shared" si="493"/>
        <v>135468608</v>
      </c>
      <c r="AE82" s="511">
        <f t="shared" si="493"/>
        <v>1681082602</v>
      </c>
      <c r="AF82" s="511">
        <f t="shared" si="493"/>
        <v>1681082602</v>
      </c>
      <c r="AG82" s="511">
        <f t="shared" si="493"/>
        <v>1237303222</v>
      </c>
      <c r="AH82" s="511">
        <f t="shared" si="493"/>
        <v>1237303222</v>
      </c>
      <c r="AI82" s="511">
        <f t="shared" si="493"/>
        <v>277309367</v>
      </c>
      <c r="AJ82" s="511">
        <f t="shared" si="493"/>
        <v>277309367</v>
      </c>
      <c r="AK82" s="511">
        <f t="shared" si="493"/>
        <v>33882400</v>
      </c>
      <c r="AL82" s="511">
        <f t="shared" si="493"/>
        <v>33882400</v>
      </c>
      <c r="AM82" s="511">
        <f t="shared" si="493"/>
        <v>166248008</v>
      </c>
      <c r="AN82" s="511">
        <f t="shared" si="493"/>
        <v>152955436</v>
      </c>
      <c r="AO82" s="511">
        <f t="shared" si="493"/>
        <v>41542537</v>
      </c>
      <c r="AP82" s="511">
        <f t="shared" si="493"/>
        <v>33698875</v>
      </c>
      <c r="AQ82" s="511">
        <f t="shared" si="493"/>
        <v>96868123</v>
      </c>
      <c r="AR82" s="511">
        <f t="shared" si="493"/>
        <v>43051400</v>
      </c>
      <c r="AS82" s="511">
        <f t="shared" si="493"/>
        <v>335789389</v>
      </c>
      <c r="AT82" s="511">
        <f t="shared" si="493"/>
        <v>265821000</v>
      </c>
      <c r="AU82" s="511">
        <f t="shared" si="493"/>
        <v>105444133</v>
      </c>
      <c r="AV82" s="511">
        <f t="shared" si="493"/>
        <v>37714900</v>
      </c>
      <c r="AW82" s="511">
        <f t="shared" si="493"/>
        <v>4528833</v>
      </c>
      <c r="AX82" s="511">
        <f t="shared" si="493"/>
        <v>104244727</v>
      </c>
      <c r="AY82" s="511">
        <f t="shared" si="493"/>
        <v>71252200</v>
      </c>
      <c r="AZ82" s="511">
        <f t="shared" si="493"/>
        <v>56021733</v>
      </c>
      <c r="BA82" s="511">
        <f t="shared" si="493"/>
        <v>4247841922</v>
      </c>
      <c r="BB82" s="511">
        <f t="shared" si="493"/>
        <v>4247841922</v>
      </c>
      <c r="BC82" s="511">
        <f t="shared" si="493"/>
        <v>4135342770</v>
      </c>
      <c r="BD82" s="511">
        <f t="shared" si="493"/>
        <v>4247841922</v>
      </c>
      <c r="BE82" s="511">
        <f t="shared" si="493"/>
        <v>4135342770</v>
      </c>
      <c r="BF82" s="511">
        <f t="shared" si="493"/>
        <v>4064486400</v>
      </c>
      <c r="BG82" s="511">
        <f t="shared" si="493"/>
        <v>3576105799</v>
      </c>
      <c r="BH82" s="511">
        <f t="shared" si="493"/>
        <v>3576105799</v>
      </c>
      <c r="BI82" s="511">
        <f t="shared" si="493"/>
        <v>256106101</v>
      </c>
      <c r="BJ82" s="511">
        <f t="shared" si="493"/>
        <v>84479433</v>
      </c>
      <c r="BK82" s="511">
        <f t="shared" si="493"/>
        <v>25148334</v>
      </c>
      <c r="BL82" s="511">
        <f t="shared" si="493"/>
        <v>32019034</v>
      </c>
      <c r="BM82" s="511">
        <f t="shared" si="493"/>
        <v>32524868</v>
      </c>
      <c r="BN82" s="511">
        <f t="shared" si="493"/>
        <v>8480000</v>
      </c>
      <c r="BO82" s="511">
        <f t="shared" si="493"/>
        <v>0</v>
      </c>
      <c r="BP82" s="511">
        <f t="shared" si="493"/>
        <v>18020801</v>
      </c>
      <c r="BQ82" s="511">
        <f t="shared" si="493"/>
        <v>835200</v>
      </c>
      <c r="BR82" s="511">
        <f t="shared" si="493"/>
        <v>56398000</v>
      </c>
      <c r="BS82" s="511">
        <f t="shared" si="493"/>
        <v>138985100</v>
      </c>
      <c r="BT82" s="511">
        <f t="shared" si="493"/>
        <v>148160573</v>
      </c>
      <c r="BU82" s="511">
        <f t="shared" si="493"/>
        <v>850000</v>
      </c>
      <c r="BV82" s="511">
        <f t="shared" si="493"/>
        <v>0</v>
      </c>
      <c r="BW82" s="511">
        <f t="shared" si="493"/>
        <v>114927000</v>
      </c>
      <c r="BX82" s="511">
        <f t="shared" si="493"/>
        <v>166431357</v>
      </c>
      <c r="BY82" s="511">
        <f t="shared" si="493"/>
        <v>64058933</v>
      </c>
      <c r="BZ82" s="511">
        <f t="shared" si="493"/>
        <v>43877829</v>
      </c>
      <c r="CA82" s="511">
        <f t="shared" si="493"/>
        <v>384169466</v>
      </c>
      <c r="CB82" s="511">
        <f t="shared" si="493"/>
        <v>112758499</v>
      </c>
      <c r="CC82" s="511">
        <f t="shared" si="493"/>
        <v>17399028</v>
      </c>
      <c r="CD82" s="511">
        <f t="shared" si="493"/>
        <v>85445655</v>
      </c>
      <c r="CE82" s="511">
        <f t="shared" si="493"/>
        <v>4611109829</v>
      </c>
      <c r="CF82" s="511">
        <f t="shared" si="493"/>
        <v>4611109829</v>
      </c>
      <c r="CG82" s="511">
        <f t="shared" si="493"/>
        <v>4332176980</v>
      </c>
      <c r="CH82" s="511">
        <f t="shared" si="493"/>
        <v>4611109829</v>
      </c>
      <c r="CI82" s="511">
        <f t="shared" si="493"/>
        <v>4332176980</v>
      </c>
      <c r="CJ82" s="511">
        <f t="shared" si="493"/>
        <v>5495929963</v>
      </c>
      <c r="CK82" s="511">
        <f t="shared" si="493"/>
        <v>887857065</v>
      </c>
      <c r="CL82" s="511">
        <f t="shared" si="493"/>
        <v>887857065</v>
      </c>
      <c r="CM82" s="511">
        <f t="shared" si="493"/>
        <v>2317355241</v>
      </c>
      <c r="CN82" s="511">
        <f t="shared" si="493"/>
        <v>2317355241</v>
      </c>
      <c r="CO82" s="511">
        <f t="shared" si="493"/>
        <v>319083511</v>
      </c>
      <c r="CP82" s="511">
        <f t="shared" si="493"/>
        <v>319083511</v>
      </c>
      <c r="CQ82" s="511">
        <f t="shared" si="493"/>
        <v>270119900</v>
      </c>
      <c r="CR82" s="511">
        <f t="shared" si="493"/>
        <v>161103931.24000001</v>
      </c>
      <c r="CS82" s="511">
        <f t="shared" si="493"/>
        <v>962860868</v>
      </c>
      <c r="CT82" s="511">
        <f t="shared" si="493"/>
        <v>158026460</v>
      </c>
      <c r="CU82" s="511">
        <f t="shared" si="493"/>
        <v>212652696</v>
      </c>
      <c r="CV82" s="511">
        <f t="shared" si="493"/>
        <v>133713935</v>
      </c>
      <c r="CW82" s="511">
        <f t="shared" si="493"/>
        <v>18744000</v>
      </c>
      <c r="CX82" s="511">
        <f t="shared" si="493"/>
        <v>546233548</v>
      </c>
      <c r="CY82" s="511">
        <f t="shared" si="493"/>
        <v>0</v>
      </c>
      <c r="CZ82" s="511">
        <f t="shared" si="493"/>
        <v>167420392</v>
      </c>
      <c r="DA82" s="511">
        <f t="shared" si="493"/>
        <v>-10146501</v>
      </c>
      <c r="DB82" s="511">
        <f t="shared" si="493"/>
        <v>103907088</v>
      </c>
      <c r="DC82" s="511">
        <f t="shared" si="493"/>
        <v>50000000</v>
      </c>
      <c r="DD82" s="511">
        <f t="shared" si="493"/>
        <v>18008326</v>
      </c>
      <c r="DE82" s="511">
        <f t="shared" si="493"/>
        <v>19938000</v>
      </c>
      <c r="DF82" s="511">
        <f t="shared" si="493"/>
        <v>35395000</v>
      </c>
      <c r="DG82" s="511">
        <f t="shared" si="493"/>
        <v>322858718</v>
      </c>
      <c r="DH82" s="511">
        <f t="shared" si="493"/>
        <v>288014436</v>
      </c>
      <c r="DI82" s="511">
        <f t="shared" si="493"/>
        <v>5371323497</v>
      </c>
      <c r="DJ82" s="512">
        <f t="shared" si="487"/>
        <v>4988673281</v>
      </c>
      <c r="DK82" s="511">
        <f t="shared" ref="DK82:DN82" si="494">DK80+DK81</f>
        <v>5136118933.2399998</v>
      </c>
      <c r="DL82" s="511">
        <f t="shared" si="494"/>
        <v>5371323497</v>
      </c>
      <c r="DM82" s="511">
        <f t="shared" si="494"/>
        <v>5136118933.2399998</v>
      </c>
      <c r="DN82" s="513">
        <f t="shared" si="494"/>
        <v>5811812000</v>
      </c>
      <c r="DO82" s="446"/>
      <c r="DP82" s="420"/>
      <c r="DQ82" s="420"/>
      <c r="DR82" s="420"/>
      <c r="DS82" s="420"/>
      <c r="DT82" s="420"/>
      <c r="DU82" s="420"/>
      <c r="DV82" s="420"/>
      <c r="DW82" s="420"/>
      <c r="DX82" s="420"/>
      <c r="DY82" s="420"/>
      <c r="DZ82" s="420"/>
      <c r="EA82" s="420"/>
      <c r="EB82" s="420"/>
      <c r="EC82" s="420"/>
      <c r="ED82" s="420"/>
      <c r="EE82" s="420"/>
      <c r="EF82" s="420"/>
      <c r="EG82" s="420"/>
      <c r="EH82" s="420"/>
      <c r="EI82" s="420"/>
      <c r="EJ82" s="420"/>
      <c r="EK82" s="420"/>
      <c r="EL82" s="420"/>
      <c r="EM82" s="420"/>
      <c r="EN82" s="420"/>
      <c r="EO82" s="420"/>
      <c r="EP82" s="420"/>
      <c r="EQ82" s="420"/>
      <c r="ER82" s="764"/>
      <c r="ES82" s="765"/>
      <c r="ET82" s="765"/>
      <c r="EU82" s="765"/>
      <c r="EV82" s="765"/>
      <c r="EW82" s="765"/>
      <c r="EX82" s="765"/>
      <c r="EY82" s="765"/>
      <c r="EZ82" s="765"/>
      <c r="FA82" s="766"/>
      <c r="FB82" s="98"/>
      <c r="FC82" s="99"/>
      <c r="FD82" s="99"/>
    </row>
    <row r="83" spans="1:160" ht="20.25" customHeight="1" x14ac:dyDescent="0.25">
      <c r="C83" s="1"/>
      <c r="D83" s="102"/>
      <c r="E83" s="102"/>
      <c r="F83" s="103"/>
      <c r="G83" s="68"/>
      <c r="H83" s="104"/>
      <c r="I83" s="104"/>
      <c r="J83" s="104"/>
      <c r="K83" s="104"/>
      <c r="L83" s="104"/>
      <c r="M83" s="104"/>
      <c r="N83" s="104"/>
      <c r="O83" s="104"/>
      <c r="P83" s="104"/>
      <c r="Q83" s="104"/>
      <c r="R83" s="104"/>
      <c r="S83" s="104"/>
      <c r="T83" s="104"/>
      <c r="U83" s="104"/>
      <c r="V83" s="104"/>
      <c r="W83" s="104"/>
      <c r="X83" s="104"/>
      <c r="Y83" s="104"/>
      <c r="Z83" s="104"/>
      <c r="AA83" s="104"/>
      <c r="AB83" s="104"/>
      <c r="AC83" s="104"/>
      <c r="AD83" s="104"/>
      <c r="AE83" s="104"/>
      <c r="AF83" s="104"/>
      <c r="AG83" s="104"/>
      <c r="AH83" s="104"/>
      <c r="AI83" s="104"/>
      <c r="AJ83" s="104"/>
      <c r="AK83" s="104"/>
      <c r="AL83" s="104"/>
      <c r="AM83" s="104"/>
      <c r="AN83" s="105"/>
      <c r="AO83" s="104"/>
      <c r="AP83" s="104"/>
      <c r="AQ83" s="106"/>
      <c r="AR83" s="104"/>
      <c r="AS83" s="104"/>
      <c r="AT83" s="107"/>
      <c r="AU83" s="104"/>
      <c r="AV83" s="104"/>
      <c r="AW83" s="104"/>
      <c r="AX83" s="107"/>
      <c r="AY83" s="104"/>
      <c r="AZ83" s="107"/>
      <c r="BA83" s="104"/>
      <c r="BB83" s="108"/>
      <c r="BC83" s="104"/>
      <c r="BD83" s="104"/>
      <c r="BE83" s="104"/>
      <c r="BF83" s="107"/>
      <c r="BG83" s="107"/>
      <c r="BH83" s="107"/>
      <c r="BI83" s="107"/>
      <c r="BJ83" s="107"/>
      <c r="BK83" s="107"/>
      <c r="BL83" s="107"/>
      <c r="BM83" s="107"/>
      <c r="BN83" s="107"/>
      <c r="BO83" s="107"/>
      <c r="BP83" s="107"/>
      <c r="BQ83" s="107"/>
      <c r="BR83" s="107"/>
      <c r="BS83" s="107"/>
      <c r="BT83" s="107"/>
      <c r="BU83" s="107"/>
      <c r="BV83" s="107"/>
      <c r="BW83" s="107"/>
      <c r="BX83" s="107"/>
      <c r="BY83" s="107"/>
      <c r="BZ83" s="107"/>
      <c r="CA83" s="107"/>
      <c r="CB83" s="107"/>
      <c r="CC83" s="107"/>
      <c r="CD83" s="107"/>
      <c r="CE83" s="107"/>
      <c r="CF83" s="104"/>
      <c r="CG83" s="104"/>
      <c r="CH83" s="107"/>
      <c r="CI83" s="107"/>
      <c r="CJ83" s="104"/>
      <c r="CK83" s="104"/>
      <c r="CL83" s="104"/>
      <c r="CM83" s="104"/>
      <c r="CN83" s="107"/>
      <c r="CO83" s="104"/>
      <c r="CP83" s="107"/>
      <c r="CQ83" s="104"/>
      <c r="CR83" s="104"/>
      <c r="CS83" s="104"/>
      <c r="CT83" s="104"/>
      <c r="CU83" s="104"/>
      <c r="CV83" s="104"/>
      <c r="CW83" s="104"/>
      <c r="CX83" s="104"/>
      <c r="CY83" s="104"/>
      <c r="CZ83" s="104"/>
      <c r="DA83" s="104"/>
      <c r="DB83" s="104"/>
      <c r="DC83" s="104"/>
      <c r="DD83" s="104"/>
      <c r="DE83" s="104"/>
      <c r="DF83" s="104"/>
      <c r="DG83" s="104"/>
      <c r="DH83" s="104"/>
      <c r="DI83" s="104"/>
      <c r="DJ83" s="104"/>
      <c r="DK83" s="104"/>
      <c r="DL83" s="104"/>
      <c r="DM83" s="104"/>
      <c r="DN83" s="104"/>
      <c r="DO83" s="104"/>
      <c r="DP83" s="104"/>
      <c r="DQ83" s="104"/>
      <c r="DR83" s="104"/>
      <c r="DS83" s="104"/>
      <c r="DT83" s="104"/>
      <c r="DU83" s="104"/>
      <c r="DV83" s="104"/>
      <c r="DW83" s="104"/>
      <c r="DX83" s="104"/>
      <c r="DY83" s="104"/>
      <c r="DZ83" s="104"/>
      <c r="EA83" s="104"/>
      <c r="EB83" s="104"/>
      <c r="EC83" s="104"/>
      <c r="ED83" s="104"/>
      <c r="EE83" s="104"/>
      <c r="EF83" s="104"/>
      <c r="EG83" s="68"/>
      <c r="EH83" s="68"/>
      <c r="EI83" s="68"/>
      <c r="EJ83" s="68"/>
      <c r="EK83" s="68"/>
      <c r="EL83" s="68"/>
      <c r="EM83" s="68"/>
      <c r="EN83" s="68"/>
      <c r="EO83" s="68"/>
      <c r="EP83" s="68"/>
      <c r="EQ83" s="68"/>
      <c r="ER83" s="3"/>
      <c r="ES83" s="3"/>
      <c r="FB83" s="1"/>
    </row>
    <row r="84" spans="1:160" ht="20.25" customHeight="1" x14ac:dyDescent="0.25">
      <c r="C84" s="1"/>
      <c r="D84" s="102"/>
      <c r="E84" s="102"/>
      <c r="F84" s="103"/>
      <c r="G84" s="68"/>
      <c r="H84" s="104"/>
      <c r="I84" s="104"/>
      <c r="J84" s="104"/>
      <c r="K84" s="104"/>
      <c r="L84" s="104"/>
      <c r="M84" s="104"/>
      <c r="N84" s="104"/>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6"/>
      <c r="AN84" s="106"/>
      <c r="AO84" s="104"/>
      <c r="AP84" s="104"/>
      <c r="AQ84" s="106"/>
      <c r="AR84" s="109"/>
      <c r="AS84" s="104"/>
      <c r="AT84" s="107"/>
      <c r="AU84" s="104"/>
      <c r="AV84" s="104"/>
      <c r="AW84" s="104"/>
      <c r="AX84" s="107"/>
      <c r="AY84" s="104"/>
      <c r="AZ84" s="107"/>
      <c r="BA84" s="104"/>
      <c r="BB84" s="108"/>
      <c r="BC84" s="104"/>
      <c r="BD84" s="108"/>
      <c r="BE84" s="104"/>
      <c r="BF84" s="107"/>
      <c r="BG84" s="107"/>
      <c r="BH84" s="107"/>
      <c r="BI84" s="107"/>
      <c r="BJ84" s="107"/>
      <c r="BK84" s="107"/>
      <c r="BL84" s="110" t="s">
        <v>210</v>
      </c>
      <c r="BM84" s="107"/>
      <c r="BN84" s="107"/>
      <c r="BO84" s="107"/>
      <c r="BP84" s="107"/>
      <c r="BQ84" s="107"/>
      <c r="BR84" s="107"/>
      <c r="BS84" s="107"/>
      <c r="BT84" s="107"/>
      <c r="BU84" s="107"/>
      <c r="BV84" s="107"/>
      <c r="BW84" s="107"/>
      <c r="BX84" s="107"/>
      <c r="BY84" s="107"/>
      <c r="BZ84" s="107"/>
      <c r="CA84" s="107"/>
      <c r="CB84" s="107"/>
      <c r="CC84" s="107"/>
      <c r="CD84" s="107"/>
      <c r="CE84" s="107"/>
      <c r="CF84" s="104"/>
      <c r="CG84" s="104"/>
      <c r="CH84" s="107"/>
      <c r="CI84" s="107"/>
      <c r="CJ84" s="104"/>
      <c r="CK84" s="104"/>
      <c r="CL84" s="104"/>
      <c r="CM84" s="104"/>
      <c r="CN84" s="107"/>
      <c r="CO84" s="104"/>
      <c r="CP84" s="107"/>
      <c r="CQ84" s="104"/>
      <c r="CR84" s="104"/>
      <c r="CS84" s="104"/>
      <c r="CT84" s="104"/>
      <c r="CU84" s="104"/>
      <c r="CV84" s="104"/>
      <c r="CW84" s="104"/>
      <c r="CX84" s="104"/>
      <c r="CY84" s="104"/>
      <c r="CZ84" s="104"/>
      <c r="DA84" s="104"/>
      <c r="DB84" s="104"/>
      <c r="DC84" s="104"/>
      <c r="DD84" s="104"/>
      <c r="DE84" s="104"/>
      <c r="DF84" s="104"/>
      <c r="DG84" s="104"/>
      <c r="DH84" s="104"/>
      <c r="DI84" s="104"/>
      <c r="DJ84" s="104"/>
      <c r="DK84" s="104"/>
      <c r="DL84" s="104"/>
      <c r="DM84" s="104"/>
      <c r="DN84" s="104"/>
      <c r="DO84" s="104"/>
      <c r="DP84" s="104"/>
      <c r="DQ84" s="104"/>
      <c r="DR84" s="104"/>
      <c r="DS84" s="104"/>
      <c r="DT84" s="104"/>
      <c r="DU84" s="104"/>
      <c r="DV84" s="104"/>
      <c r="DW84" s="104"/>
      <c r="DX84" s="104"/>
      <c r="DY84" s="104"/>
      <c r="DZ84" s="104"/>
      <c r="EA84" s="104"/>
      <c r="EB84" s="104"/>
      <c r="EC84" s="104"/>
      <c r="ED84" s="104"/>
      <c r="EE84" s="104"/>
      <c r="EF84" s="104"/>
      <c r="EG84" s="68"/>
      <c r="EH84" s="68"/>
      <c r="EI84" s="68"/>
      <c r="EJ84" s="68"/>
      <c r="EK84" s="68"/>
      <c r="EL84" s="68"/>
      <c r="EM84" s="68"/>
      <c r="EN84" s="68"/>
      <c r="EO84" s="68"/>
      <c r="EP84" s="68"/>
      <c r="EQ84" s="68"/>
      <c r="ER84" s="3"/>
      <c r="ES84" s="3"/>
      <c r="FB84" s="1"/>
    </row>
    <row r="85" spans="1:160" ht="20.25" customHeight="1" x14ac:dyDescent="0.4">
      <c r="C85" s="1"/>
      <c r="D85" s="102"/>
      <c r="E85" s="102"/>
      <c r="F85" s="52" t="s">
        <v>199</v>
      </c>
      <c r="K85" s="3"/>
      <c r="L85" s="3"/>
      <c r="M85" s="3"/>
      <c r="N85" s="3"/>
      <c r="O85" s="3"/>
      <c r="P85" s="3"/>
      <c r="Q85" s="3"/>
      <c r="R85" s="3"/>
      <c r="S85" s="3"/>
      <c r="T85" s="3"/>
      <c r="U85" s="3"/>
      <c r="V85" s="3"/>
      <c r="W85" s="3"/>
      <c r="X85" s="3"/>
      <c r="Y85" s="3"/>
      <c r="Z85" s="3"/>
      <c r="AA85" s="53"/>
      <c r="AB85" s="54"/>
      <c r="AC85" s="55"/>
      <c r="AD85" s="3"/>
      <c r="AE85" s="54"/>
      <c r="AF85" s="3"/>
      <c r="AG85" s="3"/>
      <c r="AH85" s="3"/>
      <c r="AI85" s="3"/>
      <c r="AJ85" s="3"/>
      <c r="AK85" s="3"/>
      <c r="AL85" s="3"/>
      <c r="AM85" s="3"/>
      <c r="AN85" s="3"/>
      <c r="AO85" s="3"/>
      <c r="AP85" s="3"/>
      <c r="AQ85" s="3"/>
      <c r="AR85" s="3"/>
      <c r="AS85" s="3"/>
      <c r="AT85" s="2"/>
      <c r="AU85" s="3"/>
      <c r="AV85" s="3"/>
      <c r="AW85" s="3"/>
      <c r="AX85" s="56"/>
      <c r="AY85" s="57"/>
      <c r="AZ85" s="56"/>
      <c r="BA85" s="57"/>
      <c r="BB85" s="57"/>
      <c r="BC85" s="57"/>
      <c r="BD85" s="57"/>
      <c r="BE85" s="57"/>
      <c r="BF85" s="56"/>
      <c r="BG85" s="56"/>
      <c r="BH85" s="56"/>
      <c r="BI85" s="56"/>
      <c r="BJ85" s="66"/>
      <c r="BK85" s="66"/>
      <c r="BL85" s="66"/>
      <c r="BM85" s="66"/>
      <c r="BN85" s="66"/>
      <c r="BO85" s="66"/>
      <c r="BP85" s="66"/>
      <c r="BQ85" s="66"/>
      <c r="BR85" s="66"/>
      <c r="BS85" s="66"/>
      <c r="BT85" s="66"/>
      <c r="BU85" s="66"/>
      <c r="BV85" s="66"/>
      <c r="BW85" s="1"/>
      <c r="BX85" s="1"/>
      <c r="BY85" s="1"/>
      <c r="BZ85" s="1"/>
      <c r="CA85" s="1"/>
      <c r="CB85" s="1"/>
      <c r="CC85" s="1"/>
      <c r="CD85" s="1"/>
      <c r="CE85" s="111"/>
      <c r="CF85" s="112"/>
      <c r="CH85" s="1"/>
      <c r="CI85" s="1"/>
      <c r="CJ85" s="68"/>
      <c r="CK85" s="68"/>
      <c r="CL85" s="68"/>
      <c r="CM85" s="68"/>
      <c r="CN85" s="66"/>
      <c r="CO85" s="68"/>
      <c r="CP85" s="66"/>
      <c r="CQ85" s="68"/>
      <c r="CR85" s="68"/>
      <c r="CS85" s="68"/>
      <c r="CT85" s="68"/>
      <c r="CU85" s="68"/>
      <c r="CV85" s="68"/>
      <c r="CW85" s="68"/>
      <c r="CX85" s="68"/>
      <c r="CY85" s="68"/>
      <c r="CZ85" s="68"/>
      <c r="DA85" s="68"/>
      <c r="DB85" s="68"/>
      <c r="DC85" s="68"/>
      <c r="DD85" s="68"/>
      <c r="DE85" s="68"/>
      <c r="DF85" s="68"/>
      <c r="DG85" s="68"/>
      <c r="DH85" s="68"/>
      <c r="DI85" s="68"/>
      <c r="DJ85" s="68"/>
      <c r="DK85" s="68"/>
      <c r="DL85" s="68"/>
      <c r="DM85" s="68"/>
      <c r="DN85" s="68"/>
      <c r="DO85" s="68"/>
      <c r="DP85" s="68"/>
      <c r="DQ85" s="68"/>
      <c r="DR85" s="68"/>
      <c r="DS85" s="68"/>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3"/>
      <c r="ES85" s="3"/>
      <c r="EX85" s="1"/>
      <c r="EY85" s="1"/>
      <c r="FB85" s="1"/>
    </row>
    <row r="86" spans="1:160" ht="20.25" customHeight="1" x14ac:dyDescent="0.25">
      <c r="C86" s="1"/>
      <c r="D86" s="102"/>
      <c r="E86" s="102"/>
      <c r="F86" s="60" t="s">
        <v>200</v>
      </c>
      <c r="G86" s="710" t="s">
        <v>201</v>
      </c>
      <c r="H86" s="711"/>
      <c r="I86" s="711"/>
      <c r="J86" s="711"/>
      <c r="K86" s="711"/>
      <c r="L86" s="712"/>
      <c r="M86" s="719" t="s">
        <v>202</v>
      </c>
      <c r="N86" s="711"/>
      <c r="O86" s="711"/>
      <c r="P86" s="711"/>
      <c r="Q86" s="711"/>
      <c r="R86" s="711"/>
      <c r="S86" s="711"/>
      <c r="T86" s="711"/>
      <c r="U86" s="712"/>
      <c r="V86" s="68"/>
      <c r="W86" s="68"/>
      <c r="X86" s="68"/>
      <c r="Y86" s="68"/>
      <c r="Z86" s="68"/>
      <c r="AA86" s="68"/>
      <c r="AB86" s="68"/>
      <c r="AC86" s="68"/>
      <c r="AD86" s="68"/>
      <c r="AE86" s="68"/>
      <c r="AF86" s="68"/>
      <c r="AG86" s="68"/>
      <c r="AH86" s="68"/>
      <c r="AI86" s="68"/>
      <c r="AJ86" s="68"/>
      <c r="AK86" s="68"/>
      <c r="AL86" s="68"/>
      <c r="AM86" s="68"/>
      <c r="AN86" s="113"/>
      <c r="AO86" s="68"/>
      <c r="AP86" s="68"/>
      <c r="AQ86" s="68"/>
      <c r="AR86" s="68"/>
      <c r="AS86" s="68"/>
      <c r="AT86" s="66"/>
      <c r="AU86" s="68"/>
      <c r="AV86" s="68"/>
      <c r="AW86" s="68"/>
      <c r="AX86" s="66"/>
      <c r="AY86" s="68"/>
      <c r="AZ86" s="66"/>
      <c r="BA86" s="68"/>
      <c r="BB86" s="68"/>
      <c r="BC86" s="68"/>
      <c r="BD86" s="68"/>
      <c r="BE86" s="68"/>
      <c r="BF86" s="114"/>
      <c r="BG86" s="66"/>
      <c r="BH86" s="66"/>
      <c r="BI86" s="66"/>
      <c r="BJ86" s="66"/>
      <c r="BK86" s="66"/>
      <c r="BL86" s="66"/>
      <c r="BM86" s="66"/>
      <c r="BN86" s="66"/>
      <c r="BO86" s="66"/>
      <c r="BP86" s="66"/>
      <c r="BQ86" s="66"/>
      <c r="BR86" s="66"/>
      <c r="BS86" s="66"/>
      <c r="BT86" s="66"/>
      <c r="BU86" s="66"/>
      <c r="BV86" s="66"/>
      <c r="BW86" s="66"/>
      <c r="BX86" s="66"/>
      <c r="BY86" s="66"/>
      <c r="BZ86" s="66"/>
      <c r="CA86" s="66"/>
      <c r="CB86" s="66"/>
      <c r="CC86" s="66"/>
      <c r="CD86" s="66"/>
      <c r="CE86" s="66"/>
      <c r="CF86" s="68"/>
      <c r="CG86" s="68"/>
      <c r="CH86" s="66"/>
      <c r="CI86" s="66"/>
      <c r="CJ86" s="115"/>
      <c r="CK86" s="115"/>
      <c r="CL86" s="115"/>
      <c r="CM86" s="115"/>
      <c r="CN86" s="116"/>
      <c r="CO86" s="115"/>
      <c r="CP86" s="116"/>
      <c r="CQ86" s="115"/>
      <c r="CR86" s="115"/>
      <c r="CS86" s="115"/>
      <c r="CT86" s="115"/>
      <c r="CU86" s="115"/>
      <c r="CV86" s="115"/>
      <c r="CW86" s="115"/>
      <c r="CX86" s="115"/>
      <c r="CY86" s="115"/>
      <c r="CZ86" s="115"/>
      <c r="DA86" s="115"/>
      <c r="DB86" s="115"/>
      <c r="DC86" s="115"/>
      <c r="DD86" s="115"/>
      <c r="DE86" s="115"/>
      <c r="DF86" s="115"/>
      <c r="DG86" s="115"/>
      <c r="DH86" s="115"/>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3"/>
      <c r="ES86" s="3"/>
      <c r="EX86" s="1"/>
      <c r="EY86" s="1"/>
      <c r="FB86" s="1"/>
    </row>
    <row r="87" spans="1:160" ht="20.25" customHeight="1" x14ac:dyDescent="0.25">
      <c r="C87" s="1"/>
      <c r="D87" s="102"/>
      <c r="E87" s="102"/>
      <c r="F87" s="61">
        <v>13</v>
      </c>
      <c r="G87" s="713" t="s">
        <v>203</v>
      </c>
      <c r="H87" s="711"/>
      <c r="I87" s="711"/>
      <c r="J87" s="711"/>
      <c r="K87" s="711"/>
      <c r="L87" s="712"/>
      <c r="M87" s="714" t="s">
        <v>204</v>
      </c>
      <c r="N87" s="711"/>
      <c r="O87" s="711"/>
      <c r="P87" s="711"/>
      <c r="Q87" s="711"/>
      <c r="R87" s="711"/>
      <c r="S87" s="711"/>
      <c r="T87" s="711"/>
      <c r="U87" s="712"/>
      <c r="V87" s="68"/>
      <c r="W87" s="68"/>
      <c r="X87" s="68"/>
      <c r="Y87" s="68"/>
      <c r="Z87" s="68"/>
      <c r="AA87" s="68"/>
      <c r="AB87" s="68"/>
      <c r="AC87" s="68"/>
      <c r="AD87" s="68"/>
      <c r="AE87" s="68"/>
      <c r="AF87" s="68"/>
      <c r="AG87" s="68"/>
      <c r="AH87" s="68"/>
      <c r="AI87" s="68"/>
      <c r="AJ87" s="68"/>
      <c r="AK87" s="68"/>
      <c r="AL87" s="68"/>
      <c r="AM87" s="68"/>
      <c r="AN87" s="113"/>
      <c r="AO87" s="68"/>
      <c r="AP87" s="68"/>
      <c r="AQ87" s="68"/>
      <c r="AR87" s="68"/>
      <c r="AS87" s="68"/>
      <c r="AT87" s="66"/>
      <c r="AU87" s="68"/>
      <c r="AV87" s="68"/>
      <c r="AW87" s="68"/>
      <c r="AX87" s="66"/>
      <c r="AY87" s="68"/>
      <c r="AZ87" s="66"/>
      <c r="BA87" s="117"/>
      <c r="BB87" s="68"/>
      <c r="BC87" s="68"/>
      <c r="BD87" s="68"/>
      <c r="BE87" s="68"/>
      <c r="BF87" s="66"/>
      <c r="BG87" s="66"/>
      <c r="BH87" s="66"/>
      <c r="BI87" s="66"/>
      <c r="BJ87" s="66"/>
      <c r="BK87" s="66"/>
      <c r="BL87" s="66"/>
      <c r="BM87" s="66"/>
      <c r="BN87" s="66"/>
      <c r="BO87" s="66"/>
      <c r="BP87" s="66"/>
      <c r="BQ87" s="66"/>
      <c r="BR87" s="66"/>
      <c r="BS87" s="66"/>
      <c r="BT87" s="66"/>
      <c r="BU87" s="66"/>
      <c r="BV87" s="66"/>
      <c r="BW87" s="66"/>
      <c r="BX87" s="66"/>
      <c r="BY87" s="66"/>
      <c r="BZ87" s="66"/>
      <c r="CA87" s="66"/>
      <c r="CB87" s="66"/>
      <c r="CC87" s="66"/>
      <c r="CD87" s="66"/>
      <c r="CE87" s="66"/>
      <c r="CF87" s="68"/>
      <c r="CG87" s="68"/>
      <c r="CH87" s="66"/>
      <c r="CI87" s="66"/>
      <c r="CJ87" s="115"/>
      <c r="CK87" s="115"/>
      <c r="CL87" s="115"/>
      <c r="CM87" s="115"/>
      <c r="CN87" s="116"/>
      <c r="CO87" s="115"/>
      <c r="CP87" s="116"/>
      <c r="CQ87" s="115"/>
      <c r="CR87" s="115"/>
      <c r="CS87" s="115"/>
      <c r="CT87" s="115"/>
      <c r="CU87" s="115"/>
      <c r="CV87" s="115"/>
      <c r="CW87" s="115"/>
      <c r="CX87" s="115"/>
      <c r="CY87" s="115"/>
      <c r="CZ87" s="115"/>
      <c r="DA87" s="115"/>
      <c r="DB87" s="115"/>
      <c r="DC87" s="115"/>
      <c r="DD87" s="115"/>
      <c r="DE87" s="115"/>
      <c r="DF87" s="115"/>
      <c r="DG87" s="115"/>
      <c r="DH87" s="115"/>
      <c r="DI87" s="68"/>
      <c r="DJ87" s="68"/>
      <c r="DK87" s="68"/>
      <c r="DL87" s="68"/>
      <c r="DM87" s="68"/>
      <c r="DN87" s="115"/>
      <c r="DO87" s="115"/>
      <c r="DP87" s="115"/>
      <c r="DQ87" s="115"/>
      <c r="DR87" s="115"/>
      <c r="DS87" s="115"/>
      <c r="DT87" s="115"/>
      <c r="DU87" s="115"/>
      <c r="DV87" s="115"/>
      <c r="DW87" s="115"/>
      <c r="DX87" s="115"/>
      <c r="DY87" s="115"/>
      <c r="DZ87" s="115"/>
      <c r="EA87" s="115"/>
      <c r="EB87" s="115"/>
      <c r="EC87" s="115"/>
      <c r="ED87" s="115"/>
      <c r="EE87" s="115"/>
      <c r="EF87" s="115"/>
      <c r="EG87" s="68"/>
      <c r="EH87" s="68"/>
      <c r="EI87" s="68"/>
      <c r="EJ87" s="68"/>
      <c r="EK87" s="68"/>
      <c r="EL87" s="68"/>
      <c r="EM87" s="68"/>
      <c r="EN87" s="68"/>
      <c r="EO87" s="68"/>
      <c r="EP87" s="68"/>
      <c r="EQ87" s="68"/>
      <c r="ER87" s="3"/>
      <c r="ES87" s="3"/>
      <c r="EX87" s="1"/>
      <c r="EY87" s="1"/>
      <c r="FB87" s="1"/>
    </row>
    <row r="88" spans="1:160" ht="20.25" customHeight="1" x14ac:dyDescent="0.25">
      <c r="C88" s="1"/>
      <c r="D88" s="102"/>
      <c r="E88" s="102"/>
      <c r="F88" s="61">
        <v>14</v>
      </c>
      <c r="G88" s="713" t="s">
        <v>205</v>
      </c>
      <c r="H88" s="711"/>
      <c r="I88" s="711"/>
      <c r="J88" s="711"/>
      <c r="K88" s="711"/>
      <c r="L88" s="712"/>
      <c r="M88" s="714" t="s">
        <v>206</v>
      </c>
      <c r="N88" s="711"/>
      <c r="O88" s="711"/>
      <c r="P88" s="711"/>
      <c r="Q88" s="711"/>
      <c r="R88" s="711"/>
      <c r="S88" s="711"/>
      <c r="T88" s="711"/>
      <c r="U88" s="712"/>
      <c r="V88" s="68"/>
      <c r="W88" s="68"/>
      <c r="X88" s="68"/>
      <c r="Y88" s="68"/>
      <c r="Z88" s="68"/>
      <c r="AA88" s="68"/>
      <c r="AB88" s="68"/>
      <c r="AC88" s="68"/>
      <c r="AD88" s="68"/>
      <c r="AE88" s="68"/>
      <c r="AF88" s="68"/>
      <c r="AG88" s="68"/>
      <c r="AH88" s="68"/>
      <c r="AI88" s="68"/>
      <c r="AJ88" s="68"/>
      <c r="AK88" s="68"/>
      <c r="AL88" s="68"/>
      <c r="AM88" s="68"/>
      <c r="AN88" s="113"/>
      <c r="AO88" s="68"/>
      <c r="AP88" s="68"/>
      <c r="AQ88" s="68"/>
      <c r="AR88" s="68"/>
      <c r="AS88" s="68"/>
      <c r="AT88" s="66"/>
      <c r="AU88" s="68"/>
      <c r="AV88" s="68"/>
      <c r="AW88" s="68"/>
      <c r="AX88" s="66"/>
      <c r="AY88" s="68"/>
      <c r="AZ88" s="66"/>
      <c r="BA88" s="68"/>
      <c r="BB88" s="68"/>
      <c r="BC88" s="68"/>
      <c r="BD88" s="68"/>
      <c r="BE88" s="68"/>
      <c r="BF88" s="118"/>
      <c r="BG88" s="66"/>
      <c r="BH88" s="66"/>
      <c r="BI88" s="66"/>
      <c r="BJ88" s="66"/>
      <c r="BK88" s="66"/>
      <c r="BL88" s="66"/>
      <c r="BM88" s="66"/>
      <c r="BN88" s="66"/>
      <c r="BO88" s="66"/>
      <c r="BP88" s="66"/>
      <c r="BQ88" s="66"/>
      <c r="BR88" s="66"/>
      <c r="BS88" s="66"/>
      <c r="BT88" s="66"/>
      <c r="BU88" s="66"/>
      <c r="BV88" s="66"/>
      <c r="BW88" s="66"/>
      <c r="BX88" s="66"/>
      <c r="BY88" s="66"/>
      <c r="BZ88" s="66"/>
      <c r="CA88" s="66"/>
      <c r="CB88" s="66"/>
      <c r="CC88" s="66"/>
      <c r="CD88" s="66"/>
      <c r="CE88" s="66"/>
      <c r="CF88" s="68"/>
      <c r="CG88" s="68"/>
      <c r="CH88" s="66"/>
      <c r="CI88" s="66"/>
      <c r="CJ88" s="115"/>
      <c r="CK88" s="115"/>
      <c r="CL88" s="115"/>
      <c r="CM88" s="115"/>
      <c r="CN88" s="116"/>
      <c r="CO88" s="115"/>
      <c r="CP88" s="116"/>
      <c r="CQ88" s="115"/>
      <c r="CR88" s="115"/>
      <c r="CS88" s="115"/>
      <c r="CT88" s="115"/>
      <c r="CU88" s="115"/>
      <c r="CV88" s="115"/>
      <c r="CW88" s="115"/>
      <c r="CX88" s="115"/>
      <c r="CY88" s="115"/>
      <c r="CZ88" s="115"/>
      <c r="DA88" s="115"/>
      <c r="DB88" s="115"/>
      <c r="DC88" s="115"/>
      <c r="DD88" s="115"/>
      <c r="DE88" s="115"/>
      <c r="DF88" s="115"/>
      <c r="DG88" s="115"/>
      <c r="DH88" s="115"/>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3"/>
      <c r="ES88" s="3"/>
      <c r="EX88" s="1"/>
      <c r="EY88" s="1"/>
      <c r="FB88" s="1"/>
    </row>
    <row r="89" spans="1:160" ht="20.25" customHeight="1" x14ac:dyDescent="0.25">
      <c r="C89" s="1"/>
      <c r="D89" s="102"/>
      <c r="E89" s="102"/>
      <c r="F89" s="103"/>
      <c r="G89" s="119"/>
      <c r="H89" s="68"/>
      <c r="I89" s="68"/>
      <c r="J89" s="68"/>
      <c r="K89" s="68"/>
      <c r="L89" s="68"/>
      <c r="M89" s="68"/>
      <c r="N89" s="68"/>
      <c r="O89" s="68"/>
      <c r="P89" s="68"/>
      <c r="Q89" s="119"/>
      <c r="R89" s="68"/>
      <c r="S89" s="68"/>
      <c r="T89" s="68"/>
      <c r="U89" s="68"/>
      <c r="V89" s="68"/>
      <c r="W89" s="68"/>
      <c r="X89" s="68"/>
      <c r="Y89" s="68"/>
      <c r="Z89" s="68"/>
      <c r="AA89" s="68"/>
      <c r="AB89" s="68"/>
      <c r="AC89" s="68"/>
      <c r="AD89" s="68"/>
      <c r="AE89" s="68"/>
      <c r="AF89" s="68"/>
      <c r="AG89" s="68"/>
      <c r="AH89" s="68"/>
      <c r="AI89" s="68"/>
      <c r="AJ89" s="68"/>
      <c r="AK89" s="68"/>
      <c r="AL89" s="68"/>
      <c r="AM89" s="68"/>
      <c r="AN89" s="113"/>
      <c r="AO89" s="68"/>
      <c r="AP89" s="68"/>
      <c r="AQ89" s="68"/>
      <c r="AR89" s="68"/>
      <c r="AS89" s="68"/>
      <c r="AT89" s="66"/>
      <c r="AU89" s="68"/>
      <c r="AV89" s="68"/>
      <c r="AW89" s="68"/>
      <c r="AX89" s="66"/>
      <c r="AY89" s="68"/>
      <c r="AZ89" s="66"/>
      <c r="BA89" s="68"/>
      <c r="BB89" s="68"/>
      <c r="BC89" s="68"/>
      <c r="BD89" s="68"/>
      <c r="BE89" s="68"/>
      <c r="BF89" s="66"/>
      <c r="BG89" s="66"/>
      <c r="BH89" s="66"/>
      <c r="BI89" s="66"/>
      <c r="BJ89" s="66"/>
      <c r="BK89" s="66"/>
      <c r="BL89" s="66"/>
      <c r="BM89" s="66"/>
      <c r="BN89" s="66"/>
      <c r="BO89" s="66"/>
      <c r="BP89" s="66"/>
      <c r="BQ89" s="66"/>
      <c r="BR89" s="66"/>
      <c r="BS89" s="66"/>
      <c r="BT89" s="66"/>
      <c r="BU89" s="66"/>
      <c r="BV89" s="66"/>
      <c r="BW89" s="66"/>
      <c r="BX89" s="66"/>
      <c r="BY89" s="66"/>
      <c r="BZ89" s="66"/>
      <c r="CA89" s="66"/>
      <c r="CB89" s="66"/>
      <c r="CC89" s="66"/>
      <c r="CD89" s="66"/>
      <c r="CE89" s="66"/>
      <c r="CF89" s="68"/>
      <c r="CG89" s="68"/>
      <c r="CH89" s="66"/>
      <c r="CI89" s="66"/>
      <c r="CJ89" s="68"/>
      <c r="CK89" s="68"/>
      <c r="CL89" s="68"/>
      <c r="CM89" s="68"/>
      <c r="CN89" s="66"/>
      <c r="CO89" s="68"/>
      <c r="CP89" s="66"/>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3"/>
      <c r="ES89" s="3"/>
      <c r="EX89" s="1"/>
      <c r="EY89" s="1"/>
      <c r="FB89" s="1"/>
    </row>
    <row r="90" spans="1:160" ht="20.25" customHeight="1" x14ac:dyDescent="0.25">
      <c r="C90" s="1"/>
      <c r="D90" s="102"/>
      <c r="E90" s="102"/>
      <c r="F90" s="103"/>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113"/>
      <c r="AO90" s="68"/>
      <c r="AP90" s="68"/>
      <c r="AQ90" s="68"/>
      <c r="AR90" s="68"/>
      <c r="AS90" s="68"/>
      <c r="AT90" s="66"/>
      <c r="AU90" s="68"/>
      <c r="AV90" s="68"/>
      <c r="AW90" s="68"/>
      <c r="AX90" s="66"/>
      <c r="AY90" s="68"/>
      <c r="AZ90" s="66"/>
      <c r="BA90" s="68"/>
      <c r="BB90" s="68"/>
      <c r="BC90" s="68"/>
      <c r="BD90" s="68"/>
      <c r="BE90" s="68"/>
      <c r="BF90" s="110"/>
      <c r="BG90" s="66"/>
      <c r="BH90" s="66"/>
      <c r="BI90" s="66"/>
      <c r="BJ90" s="66"/>
      <c r="BK90" s="66"/>
      <c r="BL90" s="66"/>
      <c r="BM90" s="66"/>
      <c r="BN90" s="66"/>
      <c r="BO90" s="66"/>
      <c r="BP90" s="66"/>
      <c r="BQ90" s="66"/>
      <c r="BR90" s="66"/>
      <c r="BS90" s="66"/>
      <c r="BT90" s="66"/>
      <c r="BU90" s="66"/>
      <c r="BV90" s="66"/>
      <c r="BW90" s="66"/>
      <c r="BX90" s="66"/>
      <c r="BY90" s="66"/>
      <c r="BZ90" s="66"/>
      <c r="CA90" s="66"/>
      <c r="CB90" s="66"/>
      <c r="CC90" s="66"/>
      <c r="CD90" s="66"/>
      <c r="CE90" s="66"/>
      <c r="CF90" s="68"/>
      <c r="CG90" s="68"/>
      <c r="CH90" s="66"/>
      <c r="CI90" s="66"/>
      <c r="CJ90" s="120"/>
      <c r="CK90" s="120"/>
      <c r="CL90" s="120"/>
      <c r="CM90" s="120"/>
      <c r="CN90" s="121"/>
      <c r="CO90" s="120"/>
      <c r="CP90" s="121"/>
      <c r="CQ90" s="120"/>
      <c r="CR90" s="120"/>
      <c r="CS90" s="120"/>
      <c r="CT90" s="120"/>
      <c r="CU90" s="120"/>
      <c r="CV90" s="120"/>
      <c r="CW90" s="120"/>
      <c r="CX90" s="120"/>
      <c r="CY90" s="120"/>
      <c r="CZ90" s="120"/>
      <c r="DA90" s="120"/>
      <c r="DB90" s="120"/>
      <c r="DC90" s="120"/>
      <c r="DD90" s="120"/>
      <c r="DE90" s="120"/>
      <c r="DF90" s="120"/>
      <c r="DG90" s="120"/>
      <c r="DH90" s="120"/>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3"/>
      <c r="ES90" s="3"/>
      <c r="EX90" s="1"/>
      <c r="EY90" s="1"/>
      <c r="FB90" s="1"/>
    </row>
    <row r="91" spans="1:160" ht="20.25" customHeight="1" x14ac:dyDescent="0.25">
      <c r="C91" s="1"/>
      <c r="D91" s="102"/>
      <c r="E91" s="102"/>
      <c r="F91" s="103"/>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113"/>
      <c r="AO91" s="68"/>
      <c r="AP91" s="68"/>
      <c r="AQ91" s="68"/>
      <c r="AR91" s="68"/>
      <c r="AS91" s="68"/>
      <c r="AT91" s="66"/>
      <c r="AU91" s="68"/>
      <c r="AV91" s="68"/>
      <c r="AW91" s="68"/>
      <c r="AX91" s="66"/>
      <c r="AY91" s="68"/>
      <c r="AZ91" s="66"/>
      <c r="BA91" s="68"/>
      <c r="BB91" s="68"/>
      <c r="BC91" s="68"/>
      <c r="BD91" s="68"/>
      <c r="BE91" s="68"/>
      <c r="BF91" s="66"/>
      <c r="BG91" s="66"/>
      <c r="BH91" s="66"/>
      <c r="BI91" s="66"/>
      <c r="BJ91" s="66"/>
      <c r="BK91" s="66"/>
      <c r="BL91" s="66"/>
      <c r="BM91" s="66"/>
      <c r="BN91" s="66"/>
      <c r="BO91" s="66"/>
      <c r="BP91" s="66"/>
      <c r="BQ91" s="66"/>
      <c r="BR91" s="66"/>
      <c r="BS91" s="66"/>
      <c r="BT91" s="66"/>
      <c r="BU91" s="66"/>
      <c r="BV91" s="66"/>
      <c r="BW91" s="66"/>
      <c r="BX91" s="66"/>
      <c r="BY91" s="66"/>
      <c r="BZ91" s="66"/>
      <c r="CA91" s="66"/>
      <c r="CB91" s="66"/>
      <c r="CC91" s="66"/>
      <c r="CD91" s="66"/>
      <c r="CE91" s="66"/>
      <c r="CF91" s="68"/>
      <c r="CG91" s="68"/>
      <c r="CH91" s="66"/>
      <c r="CI91" s="66"/>
      <c r="CJ91" s="68"/>
      <c r="CK91" s="68"/>
      <c r="CL91" s="68"/>
      <c r="CM91" s="68"/>
      <c r="CN91" s="66"/>
      <c r="CO91" s="68"/>
      <c r="CP91" s="66"/>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3"/>
      <c r="ES91" s="3"/>
      <c r="EX91" s="1"/>
      <c r="EY91" s="1"/>
      <c r="FB91" s="1"/>
    </row>
    <row r="92" spans="1:160" ht="20.25" customHeight="1" x14ac:dyDescent="0.25">
      <c r="C92" s="1"/>
      <c r="D92" s="102"/>
      <c r="E92" s="102"/>
      <c r="F92" s="103"/>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113"/>
      <c r="AO92" s="68"/>
      <c r="AP92" s="68"/>
      <c r="AQ92" s="68"/>
      <c r="AR92" s="68"/>
      <c r="AS92" s="68"/>
      <c r="AT92" s="66"/>
      <c r="AU92" s="68"/>
      <c r="AV92" s="68"/>
      <c r="AW92" s="68"/>
      <c r="AX92" s="66"/>
      <c r="AY92" s="68"/>
      <c r="AZ92" s="66"/>
      <c r="BA92" s="68"/>
      <c r="BB92" s="68"/>
      <c r="BC92" s="68"/>
      <c r="BD92" s="68"/>
      <c r="BE92" s="68"/>
      <c r="BF92" s="110"/>
      <c r="BG92" s="66"/>
      <c r="BH92" s="66"/>
      <c r="BI92" s="66"/>
      <c r="BJ92" s="66"/>
      <c r="BK92" s="66"/>
      <c r="BL92" s="66"/>
      <c r="BM92" s="66"/>
      <c r="BN92" s="66"/>
      <c r="BO92" s="66"/>
      <c r="BP92" s="66"/>
      <c r="BQ92" s="66"/>
      <c r="BR92" s="66"/>
      <c r="BS92" s="66"/>
      <c r="BT92" s="66"/>
      <c r="BU92" s="66"/>
      <c r="BV92" s="66"/>
      <c r="BW92" s="66"/>
      <c r="BX92" s="66"/>
      <c r="BY92" s="66"/>
      <c r="BZ92" s="66"/>
      <c r="CA92" s="66"/>
      <c r="CB92" s="66"/>
      <c r="CC92" s="66"/>
      <c r="CD92" s="66"/>
      <c r="CE92" s="66"/>
      <c r="CF92" s="68"/>
      <c r="CG92" s="68"/>
      <c r="CH92" s="66"/>
      <c r="CI92" s="66"/>
      <c r="CJ92" s="108"/>
      <c r="CK92" s="108"/>
      <c r="CL92" s="108"/>
      <c r="CM92" s="108"/>
      <c r="CN92" s="110"/>
      <c r="CO92" s="108"/>
      <c r="CP92" s="110"/>
      <c r="CQ92" s="108"/>
      <c r="CR92" s="108"/>
      <c r="CS92" s="108"/>
      <c r="CT92" s="108"/>
      <c r="CU92" s="108"/>
      <c r="CV92" s="108"/>
      <c r="CW92" s="108"/>
      <c r="CX92" s="108"/>
      <c r="CY92" s="108"/>
      <c r="CZ92" s="108"/>
      <c r="DA92" s="108"/>
      <c r="DB92" s="108"/>
      <c r="DC92" s="108"/>
      <c r="DD92" s="108"/>
      <c r="DE92" s="108"/>
      <c r="DF92" s="108"/>
      <c r="DG92" s="108"/>
      <c r="DH92" s="10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3"/>
      <c r="ES92" s="3"/>
      <c r="EX92" s="1"/>
      <c r="EY92" s="1"/>
      <c r="FB92" s="1"/>
    </row>
    <row r="93" spans="1:160" ht="20.25" customHeight="1" x14ac:dyDescent="0.25">
      <c r="C93" s="1"/>
      <c r="D93" s="102"/>
      <c r="E93" s="102"/>
      <c r="F93" s="103"/>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113"/>
      <c r="AO93" s="68"/>
      <c r="AP93" s="68"/>
      <c r="AQ93" s="68"/>
      <c r="AR93" s="68"/>
      <c r="AS93" s="68"/>
      <c r="AT93" s="66"/>
      <c r="AU93" s="68"/>
      <c r="AV93" s="68"/>
      <c r="AW93" s="68"/>
      <c r="AX93" s="66"/>
      <c r="AY93" s="68"/>
      <c r="AZ93" s="66"/>
      <c r="BA93" s="68"/>
      <c r="BB93" s="68"/>
      <c r="BC93" s="68"/>
      <c r="BD93" s="68"/>
      <c r="BE93" s="68"/>
      <c r="BF93" s="66"/>
      <c r="BG93" s="66"/>
      <c r="BH93" s="66"/>
      <c r="BI93" s="66"/>
      <c r="BJ93" s="66"/>
      <c r="BK93" s="66"/>
      <c r="BL93" s="66"/>
      <c r="BM93" s="66"/>
      <c r="BN93" s="66"/>
      <c r="BO93" s="66"/>
      <c r="BP93" s="66"/>
      <c r="BQ93" s="66"/>
      <c r="BR93" s="66"/>
      <c r="BS93" s="66"/>
      <c r="BT93" s="66"/>
      <c r="BU93" s="66"/>
      <c r="BV93" s="66"/>
      <c r="BW93" s="66"/>
      <c r="BX93" s="66"/>
      <c r="BY93" s="66"/>
      <c r="BZ93" s="66"/>
      <c r="CA93" s="66"/>
      <c r="CB93" s="66"/>
      <c r="CC93" s="66"/>
      <c r="CD93" s="66"/>
      <c r="CE93" s="66"/>
      <c r="CF93" s="68"/>
      <c r="CG93" s="68"/>
      <c r="CH93" s="66"/>
      <c r="CI93" s="66"/>
      <c r="CJ93" s="68"/>
      <c r="CK93" s="68"/>
      <c r="CL93" s="68"/>
      <c r="CM93" s="68"/>
      <c r="CN93" s="66"/>
      <c r="CO93" s="68"/>
      <c r="CP93" s="66"/>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3"/>
      <c r="ES93" s="3"/>
      <c r="EX93" s="1"/>
      <c r="EY93" s="1"/>
      <c r="FB93" s="1"/>
    </row>
    <row r="94" spans="1:160" ht="20.25" customHeight="1" x14ac:dyDescent="0.25">
      <c r="C94" s="1"/>
      <c r="D94" s="102"/>
      <c r="E94" s="102"/>
      <c r="F94" s="103"/>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113"/>
      <c r="AO94" s="68"/>
      <c r="AP94" s="68"/>
      <c r="AQ94" s="68"/>
      <c r="AR94" s="68"/>
      <c r="AS94" s="68"/>
      <c r="AT94" s="66"/>
      <c r="AU94" s="68"/>
      <c r="AV94" s="68"/>
      <c r="AW94" s="68"/>
      <c r="AX94" s="66"/>
      <c r="AY94" s="68"/>
      <c r="AZ94" s="66"/>
      <c r="BA94" s="68"/>
      <c r="BB94" s="68"/>
      <c r="BC94" s="68"/>
      <c r="BD94" s="68"/>
      <c r="BE94" s="68"/>
      <c r="BF94" s="66"/>
      <c r="BG94" s="66"/>
      <c r="BH94" s="66"/>
      <c r="BI94" s="66"/>
      <c r="BJ94" s="66"/>
      <c r="BK94" s="66"/>
      <c r="BL94" s="66"/>
      <c r="BM94" s="66"/>
      <c r="BN94" s="66"/>
      <c r="BO94" s="66"/>
      <c r="BP94" s="66"/>
      <c r="BQ94" s="66"/>
      <c r="BR94" s="66"/>
      <c r="BS94" s="66"/>
      <c r="BT94" s="66"/>
      <c r="BU94" s="66"/>
      <c r="BV94" s="66"/>
      <c r="BW94" s="66"/>
      <c r="BX94" s="66"/>
      <c r="BY94" s="66"/>
      <c r="BZ94" s="66"/>
      <c r="CA94" s="66"/>
      <c r="CB94" s="66"/>
      <c r="CC94" s="66"/>
      <c r="CD94" s="66"/>
      <c r="CE94" s="66"/>
      <c r="CF94" s="68"/>
      <c r="CG94" s="68"/>
      <c r="CH94" s="66"/>
      <c r="CI94" s="66"/>
      <c r="CJ94" s="68"/>
      <c r="CK94" s="68"/>
      <c r="CL94" s="68"/>
      <c r="CM94" s="68"/>
      <c r="CN94" s="66"/>
      <c r="CO94" s="68"/>
      <c r="CP94" s="66"/>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3"/>
      <c r="ES94" s="3"/>
      <c r="EX94" s="1"/>
      <c r="EY94" s="1"/>
      <c r="FB94" s="1"/>
    </row>
    <row r="95" spans="1:160" ht="20.25" customHeight="1" x14ac:dyDescent="0.25">
      <c r="C95" s="1"/>
      <c r="D95" s="102"/>
      <c r="E95" s="102"/>
      <c r="F95" s="103"/>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113"/>
      <c r="AO95" s="68"/>
      <c r="AP95" s="68"/>
      <c r="AQ95" s="68"/>
      <c r="AR95" s="68"/>
      <c r="AS95" s="68"/>
      <c r="AT95" s="66"/>
      <c r="AU95" s="68"/>
      <c r="AV95" s="68"/>
      <c r="AW95" s="68"/>
      <c r="AX95" s="66"/>
      <c r="AY95" s="68"/>
      <c r="AZ95" s="66"/>
      <c r="BA95" s="68"/>
      <c r="BB95" s="68"/>
      <c r="BC95" s="68"/>
      <c r="BD95" s="68"/>
      <c r="BE95" s="68"/>
      <c r="BF95" s="66"/>
      <c r="BG95" s="66"/>
      <c r="BH95" s="66"/>
      <c r="BI95" s="66"/>
      <c r="BJ95" s="66"/>
      <c r="BK95" s="66"/>
      <c r="BL95" s="66"/>
      <c r="BM95" s="66"/>
      <c r="BN95" s="66"/>
      <c r="BO95" s="66"/>
      <c r="BP95" s="66"/>
      <c r="BQ95" s="66"/>
      <c r="BR95" s="66"/>
      <c r="BS95" s="66"/>
      <c r="BT95" s="66"/>
      <c r="BU95" s="66"/>
      <c r="BV95" s="66"/>
      <c r="BW95" s="66"/>
      <c r="BX95" s="66"/>
      <c r="BY95" s="66"/>
      <c r="BZ95" s="66"/>
      <c r="CA95" s="66"/>
      <c r="CB95" s="66"/>
      <c r="CC95" s="66"/>
      <c r="CD95" s="66"/>
      <c r="CE95" s="66"/>
      <c r="CF95" s="68"/>
      <c r="CG95" s="68"/>
      <c r="CH95" s="66"/>
      <c r="CI95" s="66"/>
      <c r="CJ95" s="68"/>
      <c r="CK95" s="68"/>
      <c r="CL95" s="68"/>
      <c r="CM95" s="68"/>
      <c r="CN95" s="66"/>
      <c r="CO95" s="68"/>
      <c r="CP95" s="66"/>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3"/>
      <c r="ES95" s="3"/>
      <c r="EX95" s="1"/>
      <c r="EY95" s="1"/>
      <c r="FB95" s="1"/>
    </row>
    <row r="96" spans="1:160" ht="20.25" customHeight="1" x14ac:dyDescent="0.25">
      <c r="C96" s="1"/>
      <c r="D96" s="102"/>
      <c r="E96" s="102"/>
      <c r="F96" s="103"/>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113"/>
      <c r="AO96" s="68"/>
      <c r="AP96" s="68"/>
      <c r="AQ96" s="68"/>
      <c r="AR96" s="68"/>
      <c r="AS96" s="68"/>
      <c r="AT96" s="66"/>
      <c r="AU96" s="68"/>
      <c r="AV96" s="68"/>
      <c r="AW96" s="68"/>
      <c r="AX96" s="66"/>
      <c r="AY96" s="68"/>
      <c r="AZ96" s="66"/>
      <c r="BA96" s="68"/>
      <c r="BB96" s="68"/>
      <c r="BC96" s="68"/>
      <c r="BD96" s="68"/>
      <c r="BE96" s="68"/>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8"/>
      <c r="CG96" s="68"/>
      <c r="CH96" s="66"/>
      <c r="CI96" s="66"/>
      <c r="CJ96" s="68"/>
      <c r="CK96" s="68"/>
      <c r="CL96" s="68"/>
      <c r="CM96" s="68"/>
      <c r="CN96" s="66"/>
      <c r="CO96" s="68"/>
      <c r="CP96" s="66"/>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3"/>
      <c r="ES96" s="3"/>
      <c r="EV96" s="350"/>
      <c r="EW96" s="350"/>
      <c r="EX96" s="1"/>
      <c r="EY96" s="1"/>
      <c r="EZ96" s="350"/>
      <c r="FB96" s="1"/>
    </row>
    <row r="97" spans="3:158" ht="20.25" customHeight="1" x14ac:dyDescent="0.25">
      <c r="C97" s="1"/>
      <c r="D97" s="102"/>
      <c r="E97" s="102"/>
      <c r="F97" s="103"/>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113"/>
      <c r="AO97" s="68"/>
      <c r="AP97" s="68"/>
      <c r="AQ97" s="68"/>
      <c r="AR97" s="68"/>
      <c r="AS97" s="68"/>
      <c r="AT97" s="66"/>
      <c r="AU97" s="68"/>
      <c r="AV97" s="68"/>
      <c r="AW97" s="68"/>
      <c r="AX97" s="66"/>
      <c r="AY97" s="68"/>
      <c r="AZ97" s="66"/>
      <c r="BA97" s="68"/>
      <c r="BB97" s="68"/>
      <c r="BC97" s="68"/>
      <c r="BD97" s="68"/>
      <c r="BE97" s="68"/>
      <c r="BF97" s="66"/>
      <c r="BG97" s="66"/>
      <c r="BH97" s="66"/>
      <c r="BI97" s="66"/>
      <c r="BJ97" s="66"/>
      <c r="BK97" s="66"/>
      <c r="BL97" s="66"/>
      <c r="BM97" s="66"/>
      <c r="BN97" s="66"/>
      <c r="BO97" s="66"/>
      <c r="BP97" s="66"/>
      <c r="BQ97" s="66"/>
      <c r="BR97" s="66"/>
      <c r="BS97" s="66"/>
      <c r="BT97" s="66"/>
      <c r="BU97" s="66"/>
      <c r="BV97" s="66"/>
      <c r="BW97" s="66"/>
      <c r="BX97" s="66"/>
      <c r="BY97" s="66"/>
      <c r="BZ97" s="66"/>
      <c r="CA97" s="66"/>
      <c r="CB97" s="66"/>
      <c r="CC97" s="66"/>
      <c r="CD97" s="66"/>
      <c r="CE97" s="66"/>
      <c r="CF97" s="68"/>
      <c r="CG97" s="68"/>
      <c r="CH97" s="66"/>
      <c r="CI97" s="66"/>
      <c r="CJ97" s="68"/>
      <c r="CK97" s="68"/>
      <c r="CL97" s="68"/>
      <c r="CM97" s="68"/>
      <c r="CN97" s="66"/>
      <c r="CO97" s="68"/>
      <c r="CP97" s="66"/>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3"/>
      <c r="ES97" s="3"/>
      <c r="EV97" s="350"/>
      <c r="EW97" s="350"/>
      <c r="EX97" s="1"/>
      <c r="EY97" s="1"/>
      <c r="EZ97" s="350"/>
      <c r="FB97" s="1"/>
    </row>
    <row r="98" spans="3:158" ht="20.25" customHeight="1" x14ac:dyDescent="0.25">
      <c r="C98" s="1"/>
      <c r="D98" s="102"/>
      <c r="E98" s="102"/>
      <c r="F98" s="103"/>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113"/>
      <c r="AO98" s="68"/>
      <c r="AP98" s="68"/>
      <c r="AQ98" s="68"/>
      <c r="AR98" s="68"/>
      <c r="AS98" s="68"/>
      <c r="AT98" s="66"/>
      <c r="AU98" s="68"/>
      <c r="AV98" s="68"/>
      <c r="AW98" s="68"/>
      <c r="AX98" s="66"/>
      <c r="AY98" s="68"/>
      <c r="AZ98" s="66"/>
      <c r="BA98" s="68"/>
      <c r="BB98" s="68"/>
      <c r="BC98" s="68"/>
      <c r="BD98" s="68"/>
      <c r="BE98" s="68"/>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8"/>
      <c r="CG98" s="68"/>
      <c r="CH98" s="66"/>
      <c r="CI98" s="66"/>
      <c r="CJ98" s="68"/>
      <c r="CK98" s="68"/>
      <c r="CL98" s="68"/>
      <c r="CM98" s="68"/>
      <c r="CN98" s="66"/>
      <c r="CO98" s="68"/>
      <c r="CP98" s="66"/>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3"/>
      <c r="ES98" s="3"/>
      <c r="EV98" s="350"/>
      <c r="EW98" s="350"/>
      <c r="EX98" s="1"/>
      <c r="EY98" s="1"/>
      <c r="EZ98" s="350"/>
      <c r="FB98" s="1"/>
    </row>
    <row r="99" spans="3:158" ht="45" customHeight="1" x14ac:dyDescent="0.25">
      <c r="C99" s="1"/>
      <c r="D99" s="102"/>
      <c r="E99" s="102"/>
      <c r="F99" s="103"/>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113"/>
      <c r="AO99" s="68"/>
      <c r="AP99" s="68"/>
      <c r="AQ99" s="68"/>
      <c r="AR99" s="68"/>
      <c r="AS99" s="68"/>
      <c r="AT99" s="66"/>
      <c r="AU99" s="68"/>
      <c r="AV99" s="68"/>
      <c r="AW99" s="68"/>
      <c r="AX99" s="66"/>
      <c r="AY99" s="68"/>
      <c r="AZ99" s="66"/>
      <c r="BA99" s="68"/>
      <c r="BB99" s="68"/>
      <c r="BC99" s="68"/>
      <c r="BD99" s="68"/>
      <c r="BE99" s="68"/>
      <c r="BF99" s="66"/>
      <c r="BG99" s="66"/>
      <c r="BH99" s="66"/>
      <c r="BI99" s="66"/>
      <c r="BJ99" s="66"/>
      <c r="BK99" s="66"/>
      <c r="BL99" s="66"/>
      <c r="BM99" s="66"/>
      <c r="BN99" s="66"/>
      <c r="BO99" s="66"/>
      <c r="BP99" s="66"/>
      <c r="BQ99" s="66"/>
      <c r="BR99" s="66"/>
      <c r="BS99" s="66"/>
      <c r="BT99" s="66"/>
      <c r="BU99" s="66"/>
      <c r="BV99" s="66"/>
      <c r="BW99" s="66"/>
      <c r="BX99" s="66"/>
      <c r="BY99" s="66"/>
      <c r="BZ99" s="66"/>
      <c r="CA99" s="66"/>
      <c r="CB99" s="66"/>
      <c r="CC99" s="66"/>
      <c r="CD99" s="66"/>
      <c r="CE99" s="66"/>
      <c r="CF99" s="68"/>
      <c r="CG99" s="68"/>
      <c r="CH99" s="66"/>
      <c r="CI99" s="66"/>
      <c r="CJ99" s="68"/>
      <c r="CK99" s="68"/>
      <c r="CL99" s="68"/>
      <c r="CM99" s="68"/>
      <c r="CN99" s="66"/>
      <c r="CO99" s="68"/>
      <c r="CP99" s="66"/>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3"/>
      <c r="ES99" s="3"/>
      <c r="EV99" s="350"/>
      <c r="EW99" s="350"/>
      <c r="EX99" s="1"/>
      <c r="EY99" s="1"/>
      <c r="EZ99" s="350"/>
      <c r="FB99" s="1"/>
    </row>
    <row r="100" spans="3:158" ht="20.25" customHeight="1" x14ac:dyDescent="0.25">
      <c r="C100" s="1"/>
      <c r="D100" s="102"/>
      <c r="E100" s="102"/>
      <c r="F100" s="103"/>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122"/>
      <c r="AO100" s="123"/>
      <c r="AP100" s="754"/>
      <c r="AQ100" s="673"/>
      <c r="AR100" s="755"/>
      <c r="AS100" s="673"/>
      <c r="AT100" s="755"/>
      <c r="AU100" s="673"/>
      <c r="AV100" s="755"/>
      <c r="AW100" s="673"/>
      <c r="AX100" s="66"/>
      <c r="AY100" s="68"/>
      <c r="AZ100" s="66"/>
      <c r="BA100" s="68"/>
      <c r="BB100" s="68"/>
      <c r="BC100" s="68"/>
      <c r="BD100" s="68"/>
      <c r="BE100" s="68"/>
      <c r="BF100" s="66"/>
      <c r="BG100" s="66"/>
      <c r="BH100" s="66"/>
      <c r="BI100" s="66"/>
      <c r="BJ100" s="66"/>
      <c r="BK100" s="66"/>
      <c r="BL100" s="66"/>
      <c r="BM100" s="66"/>
      <c r="BN100" s="66"/>
      <c r="BO100" s="66"/>
      <c r="BP100" s="66"/>
      <c r="BQ100" s="66"/>
      <c r="BR100" s="66"/>
      <c r="BS100" s="66"/>
      <c r="BT100" s="66"/>
      <c r="BU100" s="66"/>
      <c r="BV100" s="66"/>
      <c r="BW100" s="66"/>
      <c r="BX100" s="66"/>
      <c r="BY100" s="66"/>
      <c r="BZ100" s="66"/>
      <c r="CA100" s="66"/>
      <c r="CB100" s="66"/>
      <c r="CC100" s="66"/>
      <c r="CD100" s="66"/>
      <c r="CE100" s="66"/>
      <c r="CF100" s="68"/>
      <c r="CG100" s="68"/>
      <c r="CH100" s="66"/>
      <c r="CI100" s="66"/>
      <c r="CJ100" s="68"/>
      <c r="CK100" s="68"/>
      <c r="CL100" s="68"/>
      <c r="CM100" s="68"/>
      <c r="CN100" s="66"/>
      <c r="CO100" s="68"/>
      <c r="CP100" s="66"/>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3"/>
      <c r="ES100" s="3"/>
      <c r="EV100" s="350"/>
      <c r="EW100" s="350"/>
      <c r="EX100" s="1"/>
      <c r="EY100" s="1"/>
      <c r="EZ100" s="350"/>
      <c r="FB100" s="1"/>
    </row>
    <row r="101" spans="3:158" ht="20.25" customHeight="1" x14ac:dyDescent="0.25">
      <c r="C101" s="1"/>
      <c r="D101" s="102"/>
      <c r="E101" s="102"/>
      <c r="F101" s="103"/>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O101" s="124"/>
      <c r="AP101" s="124"/>
      <c r="AQ101" s="125"/>
      <c r="AR101" s="124"/>
      <c r="AS101" s="125"/>
      <c r="AT101" s="126"/>
      <c r="AU101" s="125"/>
      <c r="AV101" s="124"/>
      <c r="AW101" s="125"/>
      <c r="AX101" s="66"/>
      <c r="AY101" s="68"/>
      <c r="AZ101" s="66"/>
      <c r="BA101" s="68"/>
      <c r="BB101" s="68"/>
      <c r="BC101" s="68"/>
      <c r="BD101" s="68"/>
      <c r="BE101" s="68"/>
      <c r="BF101" s="66"/>
      <c r="BG101" s="66"/>
      <c r="BH101" s="66"/>
      <c r="BI101" s="66"/>
      <c r="BJ101" s="66"/>
      <c r="BK101" s="66"/>
      <c r="BL101" s="66"/>
      <c r="BM101" s="66"/>
      <c r="BN101" s="66"/>
      <c r="BO101" s="66"/>
      <c r="BP101" s="66"/>
      <c r="BQ101" s="66"/>
      <c r="BR101" s="66"/>
      <c r="BS101" s="66"/>
      <c r="BT101" s="66"/>
      <c r="BU101" s="66"/>
      <c r="BV101" s="66"/>
      <c r="BW101" s="66"/>
      <c r="BX101" s="66"/>
      <c r="BY101" s="66"/>
      <c r="BZ101" s="66"/>
      <c r="CA101" s="66"/>
      <c r="CB101" s="66"/>
      <c r="CC101" s="66"/>
      <c r="CD101" s="66"/>
      <c r="CE101" s="66"/>
      <c r="CF101" s="68"/>
      <c r="CG101" s="68"/>
      <c r="CH101" s="66"/>
      <c r="CI101" s="66"/>
      <c r="CJ101" s="68"/>
      <c r="CK101" s="68"/>
      <c r="CL101" s="68"/>
      <c r="CM101" s="68"/>
      <c r="CN101" s="66"/>
      <c r="CO101" s="68"/>
      <c r="CP101" s="66"/>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3"/>
      <c r="ES101" s="3"/>
      <c r="EV101" s="350"/>
      <c r="EW101" s="350"/>
      <c r="EX101" s="1"/>
      <c r="EY101" s="1"/>
      <c r="EZ101" s="350"/>
      <c r="FB101" s="1"/>
    </row>
    <row r="102" spans="3:158" ht="20.25" customHeight="1" x14ac:dyDescent="0.25">
      <c r="C102" s="1"/>
      <c r="D102" s="102"/>
      <c r="E102" s="102"/>
      <c r="F102" s="103"/>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O102" s="124"/>
      <c r="AP102" s="124"/>
      <c r="AQ102" s="125"/>
      <c r="AR102" s="124"/>
      <c r="AS102" s="125"/>
      <c r="AT102" s="126"/>
      <c r="AU102" s="125"/>
      <c r="AV102" s="124"/>
      <c r="AW102" s="125"/>
      <c r="AX102" s="66"/>
      <c r="AY102" s="68"/>
      <c r="AZ102" s="66"/>
      <c r="BA102" s="68"/>
      <c r="BB102" s="68"/>
      <c r="BC102" s="68"/>
      <c r="BD102" s="68"/>
      <c r="BE102" s="68"/>
      <c r="BF102" s="66"/>
      <c r="BG102" s="66"/>
      <c r="BH102" s="66"/>
      <c r="BI102" s="66"/>
      <c r="BJ102" s="66"/>
      <c r="BK102" s="66"/>
      <c r="BL102" s="66"/>
      <c r="BM102" s="66"/>
      <c r="BN102" s="66"/>
      <c r="BO102" s="66"/>
      <c r="BP102" s="66"/>
      <c r="BQ102" s="66"/>
      <c r="BR102" s="66"/>
      <c r="BS102" s="66"/>
      <c r="BT102" s="66"/>
      <c r="BU102" s="66"/>
      <c r="BV102" s="66"/>
      <c r="BW102" s="66"/>
      <c r="BX102" s="66"/>
      <c r="BY102" s="66"/>
      <c r="BZ102" s="66"/>
      <c r="CA102" s="66"/>
      <c r="CB102" s="66"/>
      <c r="CC102" s="66"/>
      <c r="CD102" s="66"/>
      <c r="CE102" s="66"/>
      <c r="CF102" s="68"/>
      <c r="CG102" s="68"/>
      <c r="CH102" s="66"/>
      <c r="CI102" s="66"/>
      <c r="CJ102" s="68"/>
      <c r="CK102" s="68"/>
      <c r="CL102" s="68"/>
      <c r="CM102" s="68"/>
      <c r="CN102" s="66"/>
      <c r="CO102" s="68"/>
      <c r="CP102" s="66"/>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3"/>
      <c r="ES102" s="3"/>
      <c r="EV102" s="350"/>
      <c r="EW102" s="350"/>
      <c r="EX102" s="1"/>
      <c r="EY102" s="1"/>
      <c r="EZ102" s="350"/>
      <c r="FB102" s="1"/>
    </row>
    <row r="103" spans="3:158" ht="20.25" customHeight="1" x14ac:dyDescent="0.25">
      <c r="C103" s="1"/>
      <c r="D103" s="102"/>
      <c r="E103" s="102"/>
      <c r="F103" s="103"/>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O103" s="124"/>
      <c r="AP103" s="124"/>
      <c r="AQ103" s="125"/>
      <c r="AR103" s="124"/>
      <c r="AS103" s="125"/>
      <c r="AT103" s="126"/>
      <c r="AU103" s="125"/>
      <c r="AV103" s="124"/>
      <c r="AW103" s="125"/>
      <c r="AX103" s="66"/>
      <c r="AY103" s="68"/>
      <c r="AZ103" s="66"/>
      <c r="BA103" s="68"/>
      <c r="BB103" s="68"/>
      <c r="BC103" s="68"/>
      <c r="BD103" s="68"/>
      <c r="BE103" s="68"/>
      <c r="BF103" s="66"/>
      <c r="BG103" s="66"/>
      <c r="BH103" s="66"/>
      <c r="BI103" s="66"/>
      <c r="BJ103" s="66"/>
      <c r="BK103" s="66"/>
      <c r="BL103" s="66"/>
      <c r="BM103" s="66"/>
      <c r="BN103" s="66"/>
      <c r="BO103" s="66"/>
      <c r="BP103" s="66"/>
      <c r="BQ103" s="66"/>
      <c r="BR103" s="66"/>
      <c r="BS103" s="66"/>
      <c r="BT103" s="66"/>
      <c r="BU103" s="66"/>
      <c r="BV103" s="66"/>
      <c r="BW103" s="66"/>
      <c r="BX103" s="66"/>
      <c r="BY103" s="66"/>
      <c r="BZ103" s="66"/>
      <c r="CA103" s="66"/>
      <c r="CB103" s="66"/>
      <c r="CC103" s="66"/>
      <c r="CD103" s="66"/>
      <c r="CE103" s="66"/>
      <c r="CF103" s="68"/>
      <c r="CG103" s="68"/>
      <c r="CH103" s="66"/>
      <c r="CI103" s="66"/>
      <c r="CJ103" s="68"/>
      <c r="CK103" s="68"/>
      <c r="CL103" s="68"/>
      <c r="CM103" s="68"/>
      <c r="CN103" s="66"/>
      <c r="CO103" s="68"/>
      <c r="CP103" s="66"/>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3"/>
      <c r="ES103" s="3"/>
      <c r="EV103" s="350"/>
      <c r="EW103" s="350"/>
      <c r="EX103" s="1"/>
      <c r="EY103" s="1"/>
      <c r="EZ103" s="350"/>
      <c r="FB103" s="1"/>
    </row>
    <row r="104" spans="3:158" ht="20.25" customHeight="1" x14ac:dyDescent="0.25">
      <c r="C104" s="1"/>
      <c r="D104" s="102"/>
      <c r="E104" s="102"/>
      <c r="F104" s="103"/>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O104" s="124"/>
      <c r="AP104" s="124"/>
      <c r="AQ104" s="125"/>
      <c r="AR104" s="124"/>
      <c r="AS104" s="125"/>
      <c r="AT104" s="126"/>
      <c r="AU104" s="125"/>
      <c r="AV104" s="124"/>
      <c r="AW104" s="125"/>
      <c r="AX104" s="66"/>
      <c r="AY104" s="68"/>
      <c r="AZ104" s="66"/>
      <c r="BA104" s="68"/>
      <c r="BB104" s="68"/>
      <c r="BC104" s="68"/>
      <c r="BD104" s="68"/>
      <c r="BE104" s="68"/>
      <c r="BF104" s="66"/>
      <c r="BG104" s="66"/>
      <c r="BH104" s="66"/>
      <c r="BI104" s="66"/>
      <c r="BJ104" s="66"/>
      <c r="BK104" s="66"/>
      <c r="BL104" s="66"/>
      <c r="BM104" s="66"/>
      <c r="BN104" s="66"/>
      <c r="BO104" s="66"/>
      <c r="BP104" s="66"/>
      <c r="BQ104" s="66"/>
      <c r="BR104" s="66"/>
      <c r="BS104" s="66"/>
      <c r="BT104" s="66"/>
      <c r="BU104" s="66"/>
      <c r="BV104" s="66"/>
      <c r="BW104" s="66"/>
      <c r="BX104" s="66"/>
      <c r="BY104" s="66"/>
      <c r="BZ104" s="66"/>
      <c r="CA104" s="66"/>
      <c r="CB104" s="66"/>
      <c r="CC104" s="66"/>
      <c r="CD104" s="66"/>
      <c r="CE104" s="66"/>
      <c r="CF104" s="68"/>
      <c r="CG104" s="68"/>
      <c r="CH104" s="66"/>
      <c r="CI104" s="66"/>
      <c r="CJ104" s="68"/>
      <c r="CK104" s="68"/>
      <c r="CL104" s="68"/>
      <c r="CM104" s="68"/>
      <c r="CN104" s="66"/>
      <c r="CO104" s="68"/>
      <c r="CP104" s="66"/>
      <c r="CQ104" s="68"/>
      <c r="CR104" s="68"/>
      <c r="CS104" s="68"/>
      <c r="CT104" s="68"/>
      <c r="CU104" s="68"/>
      <c r="CV104" s="68"/>
      <c r="CW104" s="68"/>
      <c r="CX104" s="68"/>
      <c r="CY104" s="68"/>
      <c r="CZ104" s="68"/>
      <c r="DA104" s="68"/>
      <c r="DB104" s="68"/>
      <c r="DC104" s="68"/>
      <c r="DD104" s="68"/>
      <c r="DE104" s="68"/>
      <c r="DF104" s="68"/>
      <c r="DG104" s="68"/>
      <c r="DH104" s="68"/>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3"/>
      <c r="ES104" s="3"/>
      <c r="EV104" s="350"/>
      <c r="EW104" s="350"/>
      <c r="EX104" s="1"/>
      <c r="EY104" s="1"/>
      <c r="EZ104" s="350"/>
      <c r="FB104" s="1"/>
    </row>
    <row r="105" spans="3:158" ht="20.25" customHeight="1" x14ac:dyDescent="0.25">
      <c r="C105" s="1"/>
      <c r="D105" s="102"/>
      <c r="E105" s="102"/>
      <c r="F105" s="103"/>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O105" s="124"/>
      <c r="AP105" s="124"/>
      <c r="AQ105" s="125"/>
      <c r="AR105" s="124"/>
      <c r="AS105" s="125"/>
      <c r="AT105" s="126"/>
      <c r="AU105" s="125"/>
      <c r="AV105" s="124"/>
      <c r="AW105" s="125"/>
      <c r="AX105" s="66"/>
      <c r="AY105" s="68"/>
      <c r="AZ105" s="66"/>
      <c r="BA105" s="68"/>
      <c r="BB105" s="68"/>
      <c r="BC105" s="68"/>
      <c r="BD105" s="68"/>
      <c r="BE105" s="68"/>
      <c r="BF105" s="66"/>
      <c r="BG105" s="66"/>
      <c r="BH105" s="66"/>
      <c r="BI105" s="66"/>
      <c r="BJ105" s="66"/>
      <c r="BK105" s="66"/>
      <c r="BL105" s="66"/>
      <c r="BM105" s="66"/>
      <c r="BN105" s="66"/>
      <c r="BO105" s="66"/>
      <c r="BP105" s="66"/>
      <c r="BQ105" s="66"/>
      <c r="BR105" s="66"/>
      <c r="BS105" s="66"/>
      <c r="BT105" s="66"/>
      <c r="BU105" s="66"/>
      <c r="BV105" s="66"/>
      <c r="BW105" s="66"/>
      <c r="BX105" s="66"/>
      <c r="BY105" s="66"/>
      <c r="BZ105" s="66"/>
      <c r="CA105" s="66"/>
      <c r="CB105" s="66"/>
      <c r="CC105" s="66"/>
      <c r="CD105" s="66"/>
      <c r="CE105" s="66"/>
      <c r="CF105" s="68"/>
      <c r="CG105" s="68"/>
      <c r="CH105" s="66"/>
      <c r="CI105" s="66"/>
      <c r="CJ105" s="68"/>
      <c r="CK105" s="68"/>
      <c r="CL105" s="68"/>
      <c r="CM105" s="68"/>
      <c r="CN105" s="66"/>
      <c r="CO105" s="68"/>
      <c r="CP105" s="66"/>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3"/>
      <c r="ES105" s="3"/>
      <c r="EV105" s="350"/>
      <c r="EW105" s="350"/>
      <c r="EX105" s="1"/>
      <c r="EY105" s="1"/>
      <c r="EZ105" s="350"/>
      <c r="FB105" s="1"/>
    </row>
    <row r="106" spans="3:158" ht="20.25" customHeight="1" x14ac:dyDescent="0.25">
      <c r="C106" s="1"/>
      <c r="D106" s="102"/>
      <c r="E106" s="102"/>
      <c r="F106" s="103"/>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O106" s="124"/>
      <c r="AP106" s="124"/>
      <c r="AQ106" s="125"/>
      <c r="AR106" s="124"/>
      <c r="AS106" s="125"/>
      <c r="AT106" s="126"/>
      <c r="AU106" s="125"/>
      <c r="AV106" s="124"/>
      <c r="AW106" s="125"/>
      <c r="AX106" s="66"/>
      <c r="AY106" s="68"/>
      <c r="AZ106" s="66"/>
      <c r="BA106" s="68"/>
      <c r="BB106" s="68"/>
      <c r="BC106" s="68"/>
      <c r="BD106" s="68"/>
      <c r="BE106" s="68"/>
      <c r="BF106" s="66"/>
      <c r="BG106" s="66"/>
      <c r="BH106" s="66"/>
      <c r="BI106" s="66"/>
      <c r="BJ106" s="66"/>
      <c r="BK106" s="66"/>
      <c r="BL106" s="66"/>
      <c r="BM106" s="66"/>
      <c r="BN106" s="66"/>
      <c r="BO106" s="66"/>
      <c r="BP106" s="66"/>
      <c r="BQ106" s="66"/>
      <c r="BR106" s="66"/>
      <c r="BS106" s="66"/>
      <c r="BT106" s="66"/>
      <c r="BU106" s="66"/>
      <c r="BV106" s="66"/>
      <c r="BW106" s="66"/>
      <c r="BX106" s="66"/>
      <c r="BY106" s="66"/>
      <c r="BZ106" s="66"/>
      <c r="CA106" s="66"/>
      <c r="CB106" s="66"/>
      <c r="CC106" s="66"/>
      <c r="CD106" s="66"/>
      <c r="CE106" s="66"/>
      <c r="CF106" s="68"/>
      <c r="CG106" s="68"/>
      <c r="CH106" s="66"/>
      <c r="CI106" s="66"/>
      <c r="CJ106" s="68"/>
      <c r="CK106" s="68"/>
      <c r="CL106" s="68"/>
      <c r="CM106" s="68"/>
      <c r="CN106" s="66"/>
      <c r="CO106" s="68"/>
      <c r="CP106" s="66"/>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3"/>
      <c r="ES106" s="3"/>
      <c r="EV106" s="350"/>
      <c r="EW106" s="350"/>
      <c r="EX106" s="1"/>
      <c r="EY106" s="1"/>
      <c r="EZ106" s="350"/>
      <c r="FB106" s="1"/>
    </row>
    <row r="107" spans="3:158" ht="20.25" customHeight="1" x14ac:dyDescent="0.25">
      <c r="C107" s="1"/>
      <c r="D107" s="102"/>
      <c r="E107" s="102"/>
      <c r="F107" s="103"/>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O107" s="124"/>
      <c r="AP107" s="124"/>
      <c r="AQ107" s="125"/>
      <c r="AR107" s="124"/>
      <c r="AS107" s="125"/>
      <c r="AT107" s="126"/>
      <c r="AU107" s="125"/>
      <c r="AV107" s="124"/>
      <c r="AW107" s="125"/>
      <c r="AX107" s="66"/>
      <c r="AY107" s="68"/>
      <c r="AZ107" s="66"/>
      <c r="BA107" s="68"/>
      <c r="BB107" s="68"/>
      <c r="BC107" s="68"/>
      <c r="BD107" s="68"/>
      <c r="BE107" s="68"/>
      <c r="BF107" s="66"/>
      <c r="BG107" s="66"/>
      <c r="BH107" s="66"/>
      <c r="BI107" s="66"/>
      <c r="BJ107" s="66"/>
      <c r="BK107" s="66"/>
      <c r="BL107" s="66"/>
      <c r="BM107" s="66"/>
      <c r="BN107" s="66"/>
      <c r="BO107" s="66"/>
      <c r="BP107" s="66"/>
      <c r="BQ107" s="66"/>
      <c r="BR107" s="66"/>
      <c r="BS107" s="66"/>
      <c r="BT107" s="66"/>
      <c r="BU107" s="66"/>
      <c r="BV107" s="66"/>
      <c r="BW107" s="66"/>
      <c r="BX107" s="66"/>
      <c r="BY107" s="66"/>
      <c r="BZ107" s="66"/>
      <c r="CA107" s="66"/>
      <c r="CB107" s="66"/>
      <c r="CC107" s="66"/>
      <c r="CD107" s="66"/>
      <c r="CE107" s="66"/>
      <c r="CF107" s="68"/>
      <c r="CG107" s="68"/>
      <c r="CH107" s="66"/>
      <c r="CI107" s="66"/>
      <c r="CJ107" s="68"/>
      <c r="CK107" s="68"/>
      <c r="CL107" s="68"/>
      <c r="CM107" s="68"/>
      <c r="CN107" s="66"/>
      <c r="CO107" s="68"/>
      <c r="CP107" s="66"/>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3"/>
      <c r="ES107" s="3"/>
      <c r="EV107" s="350"/>
      <c r="EW107" s="350"/>
      <c r="EX107" s="1"/>
      <c r="EY107" s="1"/>
      <c r="EZ107" s="350"/>
      <c r="FB107" s="1"/>
    </row>
    <row r="108" spans="3:158" ht="20.25" customHeight="1" x14ac:dyDescent="0.25">
      <c r="C108" s="1"/>
      <c r="D108" s="102"/>
      <c r="E108" s="102"/>
      <c r="F108" s="103"/>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O108" s="124"/>
      <c r="AP108" s="124"/>
      <c r="AQ108" s="125"/>
      <c r="AR108" s="124"/>
      <c r="AS108" s="125"/>
      <c r="AT108" s="126"/>
      <c r="AU108" s="125"/>
      <c r="AV108" s="124"/>
      <c r="AW108" s="125"/>
      <c r="AX108" s="66"/>
      <c r="AY108" s="68"/>
      <c r="AZ108" s="66"/>
      <c r="BA108" s="68"/>
      <c r="BB108" s="68"/>
      <c r="BC108" s="68"/>
      <c r="BD108" s="68"/>
      <c r="BE108" s="68"/>
      <c r="BF108" s="66"/>
      <c r="BG108" s="66"/>
      <c r="BH108" s="66"/>
      <c r="BI108" s="66"/>
      <c r="BJ108" s="66"/>
      <c r="BK108" s="66"/>
      <c r="BL108" s="66"/>
      <c r="BM108" s="66"/>
      <c r="BN108" s="66"/>
      <c r="BO108" s="66"/>
      <c r="BP108" s="66"/>
      <c r="BQ108" s="66"/>
      <c r="BR108" s="66"/>
      <c r="BS108" s="66"/>
      <c r="BT108" s="66"/>
      <c r="BU108" s="66"/>
      <c r="BV108" s="66"/>
      <c r="BW108" s="66"/>
      <c r="BX108" s="66"/>
      <c r="BY108" s="66"/>
      <c r="BZ108" s="66"/>
      <c r="CA108" s="66"/>
      <c r="CB108" s="66"/>
      <c r="CC108" s="66"/>
      <c r="CD108" s="66"/>
      <c r="CE108" s="66"/>
      <c r="CF108" s="68"/>
      <c r="CG108" s="68"/>
      <c r="CH108" s="66"/>
      <c r="CI108" s="66"/>
      <c r="CJ108" s="68"/>
      <c r="CK108" s="68"/>
      <c r="CL108" s="68"/>
      <c r="CM108" s="68"/>
      <c r="CN108" s="66"/>
      <c r="CO108" s="68"/>
      <c r="CP108" s="66"/>
      <c r="CQ108" s="68"/>
      <c r="CR108" s="68"/>
      <c r="CS108" s="68"/>
      <c r="CT108" s="68"/>
      <c r="CU108" s="68"/>
      <c r="CV108" s="68"/>
      <c r="CW108" s="68"/>
      <c r="CX108" s="68"/>
      <c r="CY108" s="68"/>
      <c r="CZ108" s="68"/>
      <c r="DA108" s="68"/>
      <c r="DB108" s="68"/>
      <c r="DC108" s="68"/>
      <c r="DD108" s="68"/>
      <c r="DE108" s="68"/>
      <c r="DF108" s="68"/>
      <c r="DG108" s="68"/>
      <c r="DH108" s="68"/>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3"/>
      <c r="ES108" s="3"/>
      <c r="EV108" s="350"/>
      <c r="EW108" s="350"/>
      <c r="EX108" s="1"/>
      <c r="EY108" s="1"/>
      <c r="EZ108" s="350"/>
      <c r="FB108" s="1"/>
    </row>
    <row r="109" spans="3:158" ht="20.25" customHeight="1" x14ac:dyDescent="0.25">
      <c r="C109" s="1"/>
      <c r="D109" s="102"/>
      <c r="E109" s="102"/>
      <c r="F109" s="103"/>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O109" s="124"/>
      <c r="AP109" s="124"/>
      <c r="AQ109" s="125"/>
      <c r="AR109" s="124"/>
      <c r="AS109" s="125"/>
      <c r="AT109" s="126"/>
      <c r="AU109" s="125"/>
      <c r="AV109" s="124"/>
      <c r="AW109" s="125"/>
      <c r="AX109" s="66"/>
      <c r="AY109" s="68"/>
      <c r="AZ109" s="66"/>
      <c r="BA109" s="68"/>
      <c r="BB109" s="68"/>
      <c r="BC109" s="68"/>
      <c r="BD109" s="68"/>
      <c r="BE109" s="68"/>
      <c r="BF109" s="66"/>
      <c r="BG109" s="66"/>
      <c r="BH109" s="66"/>
      <c r="BI109" s="66"/>
      <c r="BJ109" s="66"/>
      <c r="BK109" s="66"/>
      <c r="BL109" s="66"/>
      <c r="BM109" s="66"/>
      <c r="BN109" s="66"/>
      <c r="BO109" s="66"/>
      <c r="BP109" s="66"/>
      <c r="BQ109" s="66"/>
      <c r="BR109" s="66"/>
      <c r="BS109" s="66"/>
      <c r="BT109" s="66"/>
      <c r="BU109" s="66"/>
      <c r="BV109" s="66"/>
      <c r="BW109" s="66"/>
      <c r="BX109" s="66"/>
      <c r="BY109" s="66"/>
      <c r="BZ109" s="66"/>
      <c r="CA109" s="66"/>
      <c r="CB109" s="66"/>
      <c r="CC109" s="66"/>
      <c r="CD109" s="66"/>
      <c r="CE109" s="66"/>
      <c r="CF109" s="68"/>
      <c r="CG109" s="68"/>
      <c r="CH109" s="66"/>
      <c r="CI109" s="66"/>
      <c r="CJ109" s="68"/>
      <c r="CK109" s="68"/>
      <c r="CL109" s="68"/>
      <c r="CM109" s="68"/>
      <c r="CN109" s="66"/>
      <c r="CO109" s="68"/>
      <c r="CP109" s="66"/>
      <c r="CQ109" s="68"/>
      <c r="CR109" s="68"/>
      <c r="CS109" s="68"/>
      <c r="CT109" s="68"/>
      <c r="CU109" s="68"/>
      <c r="CV109" s="68"/>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3"/>
      <c r="ES109" s="3"/>
      <c r="EV109" s="350"/>
      <c r="EW109" s="350"/>
      <c r="EX109" s="1"/>
      <c r="EY109" s="1"/>
      <c r="EZ109" s="350"/>
      <c r="FB109" s="1"/>
    </row>
    <row r="110" spans="3:158" ht="20.25" customHeight="1" x14ac:dyDescent="0.25">
      <c r="C110" s="1"/>
      <c r="D110" s="102"/>
      <c r="E110" s="102"/>
      <c r="F110" s="103"/>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127"/>
      <c r="AO110" s="128"/>
      <c r="AP110" s="128"/>
      <c r="AQ110" s="129"/>
      <c r="AR110" s="128"/>
      <c r="AS110" s="129"/>
      <c r="AT110" s="130"/>
      <c r="AU110" s="129"/>
      <c r="AV110" s="128"/>
      <c r="AW110" s="129"/>
      <c r="AX110" s="66"/>
      <c r="AY110" s="68"/>
      <c r="AZ110" s="66"/>
      <c r="BA110" s="68"/>
      <c r="BB110" s="68"/>
      <c r="BC110" s="68"/>
      <c r="BD110" s="68"/>
      <c r="BE110" s="68"/>
      <c r="BF110" s="66"/>
      <c r="BG110" s="66"/>
      <c r="BH110" s="66"/>
      <c r="BI110" s="66"/>
      <c r="BJ110" s="66"/>
      <c r="BK110" s="66"/>
      <c r="BL110" s="66"/>
      <c r="BM110" s="66"/>
      <c r="BN110" s="66"/>
      <c r="BO110" s="66"/>
      <c r="BP110" s="66"/>
      <c r="BQ110" s="66"/>
      <c r="BR110" s="66"/>
      <c r="BS110" s="66"/>
      <c r="BT110" s="66"/>
      <c r="BU110" s="66"/>
      <c r="BV110" s="66"/>
      <c r="BW110" s="66"/>
      <c r="BX110" s="66"/>
      <c r="BY110" s="66"/>
      <c r="BZ110" s="66"/>
      <c r="CA110" s="66"/>
      <c r="CB110" s="66"/>
      <c r="CC110" s="66"/>
      <c r="CD110" s="66"/>
      <c r="CE110" s="66"/>
      <c r="CF110" s="68"/>
      <c r="CG110" s="68"/>
      <c r="CH110" s="66"/>
      <c r="CI110" s="66"/>
      <c r="CJ110" s="68"/>
      <c r="CK110" s="68"/>
      <c r="CL110" s="68"/>
      <c r="CM110" s="68"/>
      <c r="CN110" s="66"/>
      <c r="CO110" s="68"/>
      <c r="CP110" s="66"/>
      <c r="CQ110" s="68"/>
      <c r="CR110" s="68"/>
      <c r="CS110" s="68"/>
      <c r="CT110" s="68"/>
      <c r="CU110" s="68"/>
      <c r="CV110" s="68"/>
      <c r="CW110" s="68"/>
      <c r="CX110" s="68"/>
      <c r="CY110" s="68"/>
      <c r="CZ110" s="68"/>
      <c r="DA110" s="68"/>
      <c r="DB110" s="68"/>
      <c r="DC110" s="68"/>
      <c r="DD110" s="68"/>
      <c r="DE110" s="68"/>
      <c r="DF110" s="68"/>
      <c r="DG110" s="68"/>
      <c r="DH110" s="68"/>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3"/>
      <c r="ES110" s="3"/>
      <c r="EV110" s="350"/>
      <c r="EW110" s="350"/>
      <c r="EX110" s="1"/>
      <c r="EY110" s="1"/>
      <c r="EZ110" s="350"/>
      <c r="FB110" s="1"/>
    </row>
    <row r="111" spans="3:158" ht="20.25" customHeight="1" x14ac:dyDescent="0.25">
      <c r="C111" s="1"/>
      <c r="D111" s="102"/>
      <c r="E111" s="102"/>
      <c r="F111" s="103"/>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113"/>
      <c r="AO111" s="68"/>
      <c r="AP111" s="68"/>
      <c r="AQ111" s="68"/>
      <c r="AR111" s="68"/>
      <c r="AS111" s="68"/>
      <c r="AT111" s="66"/>
      <c r="AU111" s="68"/>
      <c r="AV111" s="68"/>
      <c r="AW111" s="68"/>
      <c r="AX111" s="66"/>
      <c r="AY111" s="68"/>
      <c r="AZ111" s="66"/>
      <c r="BA111" s="68"/>
      <c r="BB111" s="68"/>
      <c r="BC111" s="68"/>
      <c r="BD111" s="68"/>
      <c r="BE111" s="68"/>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c r="CF111" s="68"/>
      <c r="CG111" s="68"/>
      <c r="CH111" s="66"/>
      <c r="CI111" s="66"/>
      <c r="CJ111" s="68"/>
      <c r="CK111" s="68"/>
      <c r="CL111" s="68"/>
      <c r="CM111" s="68"/>
      <c r="CN111" s="66"/>
      <c r="CO111" s="68"/>
      <c r="CP111" s="66"/>
      <c r="CQ111" s="68"/>
      <c r="CR111" s="68"/>
      <c r="CS111" s="68"/>
      <c r="CT111" s="68"/>
      <c r="CU111" s="68"/>
      <c r="CV111" s="68"/>
      <c r="CW111" s="68"/>
      <c r="CX111" s="68"/>
      <c r="CY111" s="68"/>
      <c r="CZ111" s="68"/>
      <c r="DA111" s="68"/>
      <c r="DB111" s="68"/>
      <c r="DC111" s="68"/>
      <c r="DD111" s="68"/>
      <c r="DE111" s="68"/>
      <c r="DF111" s="68"/>
      <c r="DG111" s="68"/>
      <c r="DH111" s="68"/>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3"/>
      <c r="ES111" s="3"/>
      <c r="EV111" s="350"/>
      <c r="EW111" s="350"/>
      <c r="EX111" s="1"/>
      <c r="EY111" s="1"/>
      <c r="EZ111" s="350"/>
      <c r="FB111" s="1"/>
    </row>
    <row r="112" spans="3:158" ht="20.25" customHeight="1" x14ac:dyDescent="0.25">
      <c r="C112" s="1"/>
      <c r="D112" s="102"/>
      <c r="E112" s="102"/>
      <c r="F112" s="103"/>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113"/>
      <c r="AO112" s="68"/>
      <c r="AP112" s="68"/>
      <c r="AQ112" s="68"/>
      <c r="AR112" s="68"/>
      <c r="AS112" s="68"/>
      <c r="AT112" s="66"/>
      <c r="AU112" s="68"/>
      <c r="AV112" s="68"/>
      <c r="AW112" s="68"/>
      <c r="AX112" s="66"/>
      <c r="AY112" s="68"/>
      <c r="AZ112" s="66"/>
      <c r="BA112" s="68"/>
      <c r="BB112" s="68"/>
      <c r="BC112" s="68"/>
      <c r="BD112" s="68"/>
      <c r="BE112" s="68"/>
      <c r="BF112" s="66"/>
      <c r="BG112" s="66"/>
      <c r="BH112" s="66"/>
      <c r="BI112" s="66"/>
      <c r="BJ112" s="66"/>
      <c r="BK112" s="66"/>
      <c r="BL112" s="66"/>
      <c r="BM112" s="66"/>
      <c r="BN112" s="66"/>
      <c r="BO112" s="66"/>
      <c r="BP112" s="66"/>
      <c r="BQ112" s="66"/>
      <c r="BR112" s="66"/>
      <c r="BS112" s="66"/>
      <c r="BT112" s="66"/>
      <c r="BU112" s="66"/>
      <c r="BV112" s="66"/>
      <c r="BW112" s="66"/>
      <c r="BX112" s="66"/>
      <c r="BY112" s="66"/>
      <c r="BZ112" s="66"/>
      <c r="CA112" s="66"/>
      <c r="CB112" s="66"/>
      <c r="CC112" s="66"/>
      <c r="CD112" s="66"/>
      <c r="CE112" s="66"/>
      <c r="CF112" s="68"/>
      <c r="CG112" s="68"/>
      <c r="CH112" s="66"/>
      <c r="CI112" s="66"/>
      <c r="CJ112" s="68"/>
      <c r="CK112" s="68"/>
      <c r="CL112" s="68"/>
      <c r="CM112" s="68"/>
      <c r="CN112" s="66"/>
      <c r="CO112" s="68"/>
      <c r="CP112" s="66"/>
      <c r="CQ112" s="68"/>
      <c r="CR112" s="68"/>
      <c r="CS112" s="68"/>
      <c r="CT112" s="68"/>
      <c r="CU112" s="68"/>
      <c r="CV112" s="68"/>
      <c r="CW112" s="68"/>
      <c r="CX112" s="68"/>
      <c r="CY112" s="68"/>
      <c r="CZ112" s="68"/>
      <c r="DA112" s="68"/>
      <c r="DB112" s="68"/>
      <c r="DC112" s="68"/>
      <c r="DD112" s="68"/>
      <c r="DE112" s="68"/>
      <c r="DF112" s="68"/>
      <c r="DG112" s="68"/>
      <c r="DH112" s="68"/>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3"/>
      <c r="ES112" s="3"/>
      <c r="EV112" s="350"/>
      <c r="EW112" s="350"/>
      <c r="EX112" s="1"/>
      <c r="EY112" s="1"/>
      <c r="EZ112" s="350"/>
      <c r="FB112" s="1"/>
    </row>
    <row r="113" spans="3:158" ht="20.25" customHeight="1" x14ac:dyDescent="0.25">
      <c r="C113" s="1"/>
      <c r="D113" s="102"/>
      <c r="E113" s="102"/>
      <c r="F113" s="103"/>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113"/>
      <c r="AO113" s="68"/>
      <c r="AP113" s="68"/>
      <c r="AQ113" s="68"/>
      <c r="AR113" s="68"/>
      <c r="AS113" s="68"/>
      <c r="AT113" s="66"/>
      <c r="AU113" s="68"/>
      <c r="AV113" s="68"/>
      <c r="AW113" s="68"/>
      <c r="AX113" s="66"/>
      <c r="AY113" s="68"/>
      <c r="AZ113" s="66"/>
      <c r="BA113" s="68"/>
      <c r="BB113" s="68"/>
      <c r="BC113" s="68"/>
      <c r="BD113" s="68"/>
      <c r="BE113" s="68"/>
      <c r="BF113" s="66"/>
      <c r="BG113" s="66"/>
      <c r="BH113" s="66"/>
      <c r="BI113" s="66"/>
      <c r="BJ113" s="66"/>
      <c r="BK113" s="66"/>
      <c r="BL113" s="66"/>
      <c r="BM113" s="66"/>
      <c r="BN113" s="66"/>
      <c r="BO113" s="66"/>
      <c r="BP113" s="66"/>
      <c r="BQ113" s="66"/>
      <c r="BR113" s="66"/>
      <c r="BS113" s="66"/>
      <c r="BT113" s="66"/>
      <c r="BU113" s="66"/>
      <c r="BV113" s="66"/>
      <c r="BW113" s="66"/>
      <c r="BX113" s="66"/>
      <c r="BY113" s="66"/>
      <c r="BZ113" s="66"/>
      <c r="CA113" s="66"/>
      <c r="CB113" s="66"/>
      <c r="CC113" s="66"/>
      <c r="CD113" s="66"/>
      <c r="CE113" s="66"/>
      <c r="CF113" s="68"/>
      <c r="CG113" s="68"/>
      <c r="CH113" s="66"/>
      <c r="CI113" s="66"/>
      <c r="CJ113" s="68"/>
      <c r="CK113" s="68"/>
      <c r="CL113" s="68"/>
      <c r="CM113" s="68"/>
      <c r="CN113" s="66"/>
      <c r="CO113" s="68"/>
      <c r="CP113" s="66"/>
      <c r="CQ113" s="68"/>
      <c r="CR113" s="68"/>
      <c r="CS113" s="68"/>
      <c r="CT113" s="68"/>
      <c r="CU113" s="68"/>
      <c r="CV113" s="68"/>
      <c r="CW113" s="68"/>
      <c r="CX113" s="68"/>
      <c r="CY113" s="68"/>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3"/>
      <c r="ES113" s="3"/>
      <c r="EV113" s="350"/>
      <c r="EW113" s="350"/>
      <c r="EX113" s="1"/>
      <c r="EY113" s="1"/>
      <c r="EZ113" s="350"/>
      <c r="FB113" s="1"/>
    </row>
    <row r="114" spans="3:158" ht="20.25" customHeight="1" x14ac:dyDescent="0.25">
      <c r="C114" s="1"/>
      <c r="D114" s="102"/>
      <c r="E114" s="102"/>
      <c r="F114" s="103"/>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113"/>
      <c r="AO114" s="68"/>
      <c r="AP114" s="68"/>
      <c r="AQ114" s="68"/>
      <c r="AR114" s="68"/>
      <c r="AS114" s="68"/>
      <c r="AT114" s="66"/>
      <c r="AU114" s="68"/>
      <c r="AV114" s="68"/>
      <c r="AW114" s="68"/>
      <c r="AX114" s="66"/>
      <c r="AY114" s="68"/>
      <c r="AZ114" s="66"/>
      <c r="BA114" s="68"/>
      <c r="BB114" s="68"/>
      <c r="BC114" s="68"/>
      <c r="BD114" s="68"/>
      <c r="BE114" s="68"/>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c r="CF114" s="68"/>
      <c r="CG114" s="68"/>
      <c r="CH114" s="66"/>
      <c r="CI114" s="66"/>
      <c r="CJ114" s="68"/>
      <c r="CK114" s="68"/>
      <c r="CL114" s="68"/>
      <c r="CM114" s="68"/>
      <c r="CN114" s="66"/>
      <c r="CO114" s="68"/>
      <c r="CP114" s="66"/>
      <c r="CQ114" s="68"/>
      <c r="CR114" s="68"/>
      <c r="CS114" s="68"/>
      <c r="CT114" s="68"/>
      <c r="CU114" s="68"/>
      <c r="CV114" s="68"/>
      <c r="CW114" s="68"/>
      <c r="CX114" s="68"/>
      <c r="CY114" s="68"/>
      <c r="CZ114" s="68"/>
      <c r="DA114" s="68"/>
      <c r="DB114" s="68"/>
      <c r="DC114" s="68"/>
      <c r="DD114" s="68"/>
      <c r="DE114" s="68"/>
      <c r="DF114" s="68"/>
      <c r="DG114" s="68"/>
      <c r="DH114" s="68"/>
      <c r="DI114" s="68"/>
      <c r="DJ114" s="68"/>
      <c r="DK114" s="68"/>
      <c r="DL114" s="68"/>
      <c r="DM114" s="68"/>
      <c r="DN114" s="68"/>
      <c r="DO114" s="68"/>
      <c r="DP114" s="68"/>
      <c r="DQ114" s="68"/>
      <c r="DR114" s="68"/>
      <c r="DS114" s="68"/>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3"/>
      <c r="ES114" s="3"/>
      <c r="EV114" s="350"/>
      <c r="EW114" s="350"/>
      <c r="EX114" s="1"/>
      <c r="EY114" s="1"/>
      <c r="EZ114" s="350"/>
      <c r="FB114" s="1"/>
    </row>
    <row r="115" spans="3:158" ht="20.25" customHeight="1" x14ac:dyDescent="0.25">
      <c r="C115" s="1"/>
      <c r="D115" s="102"/>
      <c r="E115" s="102"/>
      <c r="F115" s="103"/>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113"/>
      <c r="AO115" s="68"/>
      <c r="AP115" s="68"/>
      <c r="AQ115" s="68"/>
      <c r="AR115" s="68"/>
      <c r="AS115" s="68"/>
      <c r="AT115" s="66"/>
      <c r="AU115" s="68"/>
      <c r="AV115" s="68"/>
      <c r="AW115" s="68"/>
      <c r="AX115" s="66"/>
      <c r="AY115" s="68"/>
      <c r="AZ115" s="66"/>
      <c r="BA115" s="68"/>
      <c r="BB115" s="68"/>
      <c r="BC115" s="68"/>
      <c r="BD115" s="68"/>
      <c r="BE115" s="68"/>
      <c r="BF115" s="66"/>
      <c r="BG115" s="66"/>
      <c r="BH115" s="66"/>
      <c r="BI115" s="66"/>
      <c r="BJ115" s="66"/>
      <c r="BK115" s="66"/>
      <c r="BL115" s="66"/>
      <c r="BM115" s="66"/>
      <c r="BN115" s="66"/>
      <c r="BO115" s="66"/>
      <c r="BP115" s="66"/>
      <c r="BQ115" s="66"/>
      <c r="BR115" s="66"/>
      <c r="BS115" s="66"/>
      <c r="BT115" s="66"/>
      <c r="BU115" s="66"/>
      <c r="BV115" s="66"/>
      <c r="BW115" s="66"/>
      <c r="BX115" s="66"/>
      <c r="BY115" s="66"/>
      <c r="BZ115" s="66"/>
      <c r="CA115" s="66"/>
      <c r="CB115" s="66"/>
      <c r="CC115" s="66"/>
      <c r="CD115" s="66"/>
      <c r="CE115" s="66"/>
      <c r="CF115" s="68"/>
      <c r="CG115" s="68"/>
      <c r="CH115" s="66"/>
      <c r="CI115" s="66"/>
      <c r="CJ115" s="68"/>
      <c r="CK115" s="68"/>
      <c r="CL115" s="68"/>
      <c r="CM115" s="68"/>
      <c r="CN115" s="66"/>
      <c r="CO115" s="68"/>
      <c r="CP115" s="66"/>
      <c r="CQ115" s="68"/>
      <c r="CR115" s="68"/>
      <c r="CS115" s="68"/>
      <c r="CT115" s="68"/>
      <c r="CU115" s="68"/>
      <c r="CV115" s="68"/>
      <c r="CW115" s="68"/>
      <c r="CX115" s="68"/>
      <c r="CY115" s="68"/>
      <c r="CZ115" s="68"/>
      <c r="DA115" s="68"/>
      <c r="DB115" s="68"/>
      <c r="DC115" s="68"/>
      <c r="DD115" s="68"/>
      <c r="DE115" s="68"/>
      <c r="DF115" s="68"/>
      <c r="DG115" s="68"/>
      <c r="DH115" s="68"/>
      <c r="DI115" s="68"/>
      <c r="DJ115" s="68"/>
      <c r="DK115" s="68"/>
      <c r="DL115" s="68"/>
      <c r="DM115" s="68"/>
      <c r="DN115" s="68"/>
      <c r="DO115" s="68"/>
      <c r="DP115" s="68"/>
      <c r="DQ115" s="68"/>
      <c r="DR115" s="68"/>
      <c r="DS115" s="68"/>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3"/>
      <c r="ES115" s="3"/>
      <c r="EV115" s="350"/>
      <c r="EW115" s="350"/>
      <c r="EX115" s="1"/>
      <c r="EY115" s="1"/>
      <c r="EZ115" s="350"/>
      <c r="FB115" s="1"/>
    </row>
    <row r="116" spans="3:158" ht="20.25" customHeight="1" x14ac:dyDescent="0.25">
      <c r="C116" s="1"/>
      <c r="D116" s="102"/>
      <c r="E116" s="102"/>
      <c r="F116" s="103"/>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113"/>
      <c r="AO116" s="68"/>
      <c r="AP116" s="68"/>
      <c r="AQ116" s="68"/>
      <c r="AR116" s="68"/>
      <c r="AS116" s="68"/>
      <c r="AT116" s="66"/>
      <c r="AU116" s="68"/>
      <c r="AV116" s="68"/>
      <c r="AW116" s="68"/>
      <c r="AX116" s="66"/>
      <c r="AY116" s="68"/>
      <c r="AZ116" s="66"/>
      <c r="BA116" s="68"/>
      <c r="BB116" s="68"/>
      <c r="BC116" s="68"/>
      <c r="BD116" s="68"/>
      <c r="BE116" s="68"/>
      <c r="BF116" s="66"/>
      <c r="BG116" s="66"/>
      <c r="BH116" s="66"/>
      <c r="BI116" s="66"/>
      <c r="BJ116" s="66"/>
      <c r="BK116" s="66"/>
      <c r="BL116" s="66"/>
      <c r="BM116" s="66"/>
      <c r="BN116" s="66"/>
      <c r="BO116" s="66"/>
      <c r="BP116" s="66"/>
      <c r="BQ116" s="66"/>
      <c r="BR116" s="66"/>
      <c r="BS116" s="66"/>
      <c r="BT116" s="66"/>
      <c r="BU116" s="66"/>
      <c r="BV116" s="66"/>
      <c r="BW116" s="66"/>
      <c r="BX116" s="66"/>
      <c r="BY116" s="66"/>
      <c r="BZ116" s="66"/>
      <c r="CA116" s="66"/>
      <c r="CB116" s="66"/>
      <c r="CC116" s="66"/>
      <c r="CD116" s="66"/>
      <c r="CE116" s="66"/>
      <c r="CF116" s="68"/>
      <c r="CG116" s="68"/>
      <c r="CH116" s="66"/>
      <c r="CI116" s="66"/>
      <c r="CJ116" s="68"/>
      <c r="CK116" s="68"/>
      <c r="CL116" s="68"/>
      <c r="CM116" s="68"/>
      <c r="CN116" s="66"/>
      <c r="CO116" s="68"/>
      <c r="CP116" s="66"/>
      <c r="CQ116" s="68"/>
      <c r="CR116" s="68"/>
      <c r="CS116" s="68"/>
      <c r="CT116" s="68"/>
      <c r="CU116" s="68"/>
      <c r="CV116" s="68"/>
      <c r="CW116" s="68"/>
      <c r="CX116" s="68"/>
      <c r="CY116" s="68"/>
      <c r="CZ116" s="68"/>
      <c r="DA116" s="68"/>
      <c r="DB116" s="68"/>
      <c r="DC116" s="68"/>
      <c r="DD116" s="68"/>
      <c r="DE116" s="68"/>
      <c r="DF116" s="68"/>
      <c r="DG116" s="68"/>
      <c r="DH116" s="68"/>
      <c r="DI116" s="68"/>
      <c r="DJ116" s="68"/>
      <c r="DK116" s="68"/>
      <c r="DL116" s="68"/>
      <c r="DM116" s="68"/>
      <c r="DN116" s="68"/>
      <c r="DO116" s="68"/>
      <c r="DP116" s="68"/>
      <c r="DQ116" s="68"/>
      <c r="DR116" s="68"/>
      <c r="DS116" s="68"/>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3"/>
      <c r="ES116" s="3"/>
      <c r="EV116" s="350"/>
      <c r="EW116" s="350"/>
      <c r="EX116" s="1"/>
      <c r="EY116" s="1"/>
      <c r="EZ116" s="350"/>
      <c r="FB116" s="1"/>
    </row>
    <row r="117" spans="3:158" ht="20.25" customHeight="1" x14ac:dyDescent="0.25">
      <c r="C117" s="1"/>
      <c r="D117" s="102"/>
      <c r="E117" s="102"/>
      <c r="F117" s="103"/>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113"/>
      <c r="AO117" s="68"/>
      <c r="AP117" s="68"/>
      <c r="AQ117" s="68"/>
      <c r="AR117" s="68"/>
      <c r="AS117" s="68"/>
      <c r="AT117" s="66"/>
      <c r="AU117" s="68"/>
      <c r="AV117" s="68"/>
      <c r="AW117" s="68"/>
      <c r="AX117" s="66"/>
      <c r="AY117" s="68"/>
      <c r="AZ117" s="66"/>
      <c r="BA117" s="68"/>
      <c r="BB117" s="68"/>
      <c r="BC117" s="68"/>
      <c r="BD117" s="68"/>
      <c r="BE117" s="68"/>
      <c r="BF117" s="66"/>
      <c r="BG117" s="66"/>
      <c r="BH117" s="66"/>
      <c r="BI117" s="66"/>
      <c r="BJ117" s="66"/>
      <c r="BK117" s="66"/>
      <c r="BL117" s="66"/>
      <c r="BM117" s="66"/>
      <c r="BN117" s="66"/>
      <c r="BO117" s="66"/>
      <c r="BP117" s="66"/>
      <c r="BQ117" s="66"/>
      <c r="BR117" s="66"/>
      <c r="BS117" s="66"/>
      <c r="BT117" s="66"/>
      <c r="BU117" s="66"/>
      <c r="BV117" s="66"/>
      <c r="BW117" s="66"/>
      <c r="BX117" s="66"/>
      <c r="BY117" s="66"/>
      <c r="BZ117" s="66"/>
      <c r="CA117" s="66"/>
      <c r="CB117" s="66"/>
      <c r="CC117" s="66"/>
      <c r="CD117" s="66"/>
      <c r="CE117" s="66"/>
      <c r="CF117" s="68"/>
      <c r="CG117" s="68"/>
      <c r="CH117" s="66"/>
      <c r="CI117" s="66"/>
      <c r="CJ117" s="68"/>
      <c r="CK117" s="68"/>
      <c r="CL117" s="68"/>
      <c r="CM117" s="68"/>
      <c r="CN117" s="66"/>
      <c r="CO117" s="68"/>
      <c r="CP117" s="66"/>
      <c r="CQ117" s="68"/>
      <c r="CR117" s="68"/>
      <c r="CS117" s="68"/>
      <c r="CT117" s="68"/>
      <c r="CU117" s="68"/>
      <c r="CV117" s="68"/>
      <c r="CW117" s="68"/>
      <c r="CX117" s="68"/>
      <c r="CY117" s="68"/>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3"/>
      <c r="ES117" s="3"/>
      <c r="EV117" s="350"/>
      <c r="EW117" s="350"/>
      <c r="EX117" s="1"/>
      <c r="EY117" s="1"/>
      <c r="EZ117" s="350"/>
      <c r="FB117" s="1"/>
    </row>
    <row r="118" spans="3:158" ht="20.25" customHeight="1" x14ac:dyDescent="0.25">
      <c r="C118" s="1"/>
      <c r="D118" s="102"/>
      <c r="E118" s="102"/>
      <c r="F118" s="103"/>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113"/>
      <c r="AO118" s="68"/>
      <c r="AP118" s="68"/>
      <c r="AQ118" s="68"/>
      <c r="AR118" s="68"/>
      <c r="AS118" s="68"/>
      <c r="AT118" s="66"/>
      <c r="AU118" s="68"/>
      <c r="AV118" s="68"/>
      <c r="AW118" s="68"/>
      <c r="AX118" s="66"/>
      <c r="AY118" s="68"/>
      <c r="AZ118" s="66"/>
      <c r="BA118" s="68"/>
      <c r="BB118" s="68"/>
      <c r="BC118" s="68"/>
      <c r="BD118" s="68"/>
      <c r="BE118" s="68"/>
      <c r="BF118" s="66"/>
      <c r="BG118" s="66"/>
      <c r="BH118" s="66"/>
      <c r="BI118" s="66"/>
      <c r="BJ118" s="66"/>
      <c r="BK118" s="66"/>
      <c r="BL118" s="66"/>
      <c r="BM118" s="66"/>
      <c r="BN118" s="66"/>
      <c r="BO118" s="66"/>
      <c r="BP118" s="66"/>
      <c r="BQ118" s="66"/>
      <c r="BR118" s="66"/>
      <c r="BS118" s="66"/>
      <c r="BT118" s="66"/>
      <c r="BU118" s="66"/>
      <c r="BV118" s="66"/>
      <c r="BW118" s="66"/>
      <c r="BX118" s="66"/>
      <c r="BY118" s="66"/>
      <c r="BZ118" s="66"/>
      <c r="CA118" s="66"/>
      <c r="CB118" s="66"/>
      <c r="CC118" s="66"/>
      <c r="CD118" s="66"/>
      <c r="CE118" s="66"/>
      <c r="CF118" s="68"/>
      <c r="CG118" s="68"/>
      <c r="CH118" s="66"/>
      <c r="CI118" s="66"/>
      <c r="CJ118" s="68"/>
      <c r="CK118" s="68"/>
      <c r="CL118" s="68"/>
      <c r="CM118" s="68"/>
      <c r="CN118" s="66"/>
      <c r="CO118" s="68"/>
      <c r="CP118" s="66"/>
      <c r="CQ118" s="68"/>
      <c r="CR118" s="68"/>
      <c r="CS118" s="68"/>
      <c r="CT118" s="68"/>
      <c r="CU118" s="68"/>
      <c r="CV118" s="68"/>
      <c r="CW118" s="68"/>
      <c r="CX118" s="68"/>
      <c r="CY118" s="68"/>
      <c r="CZ118" s="68"/>
      <c r="DA118" s="68"/>
      <c r="DB118" s="68"/>
      <c r="DC118" s="68"/>
      <c r="DD118" s="68"/>
      <c r="DE118" s="68"/>
      <c r="DF118" s="68"/>
      <c r="DG118" s="68"/>
      <c r="DH118" s="68"/>
      <c r="DI118" s="68"/>
      <c r="DJ118" s="68"/>
      <c r="DK118" s="68"/>
      <c r="DL118" s="68"/>
      <c r="DM118" s="68"/>
      <c r="DN118" s="68"/>
      <c r="DO118" s="68"/>
      <c r="DP118" s="68"/>
      <c r="DQ118" s="68"/>
      <c r="DR118" s="68"/>
      <c r="DS118" s="68"/>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3"/>
      <c r="ES118" s="3"/>
      <c r="EV118" s="350"/>
      <c r="EW118" s="350"/>
      <c r="EX118" s="1"/>
      <c r="EY118" s="1"/>
      <c r="EZ118" s="350"/>
      <c r="FB118" s="1"/>
    </row>
    <row r="119" spans="3:158" ht="20.25" customHeight="1" x14ac:dyDescent="0.25">
      <c r="C119" s="1"/>
      <c r="D119" s="102"/>
      <c r="E119" s="102"/>
      <c r="F119" s="103"/>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113"/>
      <c r="AO119" s="68"/>
      <c r="AP119" s="68"/>
      <c r="AQ119" s="68"/>
      <c r="AR119" s="68"/>
      <c r="AS119" s="68"/>
      <c r="AT119" s="66"/>
      <c r="AU119" s="68"/>
      <c r="AV119" s="68"/>
      <c r="AW119" s="68"/>
      <c r="AX119" s="66"/>
      <c r="AY119" s="68"/>
      <c r="AZ119" s="66"/>
      <c r="BA119" s="68"/>
      <c r="BB119" s="68"/>
      <c r="BC119" s="68"/>
      <c r="BD119" s="68"/>
      <c r="BE119" s="68"/>
      <c r="BF119" s="66"/>
      <c r="BG119" s="66"/>
      <c r="BH119" s="66"/>
      <c r="BI119" s="66"/>
      <c r="BJ119" s="66"/>
      <c r="BK119" s="66"/>
      <c r="BL119" s="66"/>
      <c r="BM119" s="66"/>
      <c r="BN119" s="66"/>
      <c r="BO119" s="66"/>
      <c r="BP119" s="66"/>
      <c r="BQ119" s="66"/>
      <c r="BR119" s="66"/>
      <c r="BS119" s="66"/>
      <c r="BT119" s="66"/>
      <c r="BU119" s="66"/>
      <c r="BV119" s="66"/>
      <c r="BW119" s="66"/>
      <c r="BX119" s="66"/>
      <c r="BY119" s="66"/>
      <c r="BZ119" s="66"/>
      <c r="CA119" s="66"/>
      <c r="CB119" s="66"/>
      <c r="CC119" s="66"/>
      <c r="CD119" s="66"/>
      <c r="CE119" s="66"/>
      <c r="CF119" s="68"/>
      <c r="CG119" s="68"/>
      <c r="CH119" s="66"/>
      <c r="CI119" s="66"/>
      <c r="CJ119" s="68"/>
      <c r="CK119" s="68"/>
      <c r="CL119" s="68"/>
      <c r="CM119" s="68"/>
      <c r="CN119" s="66"/>
      <c r="CO119" s="68"/>
      <c r="CP119" s="66"/>
      <c r="CQ119" s="68"/>
      <c r="CR119" s="68"/>
      <c r="CS119" s="68"/>
      <c r="CT119" s="68"/>
      <c r="CU119" s="68"/>
      <c r="CV119" s="68"/>
      <c r="CW119" s="68"/>
      <c r="CX119" s="68"/>
      <c r="CY119" s="68"/>
      <c r="CZ119" s="68"/>
      <c r="DA119" s="68"/>
      <c r="DB119" s="68"/>
      <c r="DC119" s="68"/>
      <c r="DD119" s="68"/>
      <c r="DE119" s="68"/>
      <c r="DF119" s="68"/>
      <c r="DG119" s="68"/>
      <c r="DH119" s="68"/>
      <c r="DI119" s="68"/>
      <c r="DJ119" s="68"/>
      <c r="DK119" s="68"/>
      <c r="DL119" s="68"/>
      <c r="DM119" s="68"/>
      <c r="DN119" s="68"/>
      <c r="DO119" s="68"/>
      <c r="DP119" s="68"/>
      <c r="DQ119" s="68"/>
      <c r="DR119" s="68"/>
      <c r="DS119" s="68"/>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3"/>
      <c r="ES119" s="3"/>
      <c r="EV119" s="350"/>
      <c r="EW119" s="350"/>
      <c r="EX119" s="1"/>
      <c r="EY119" s="1"/>
      <c r="EZ119" s="350"/>
      <c r="FB119" s="1"/>
    </row>
    <row r="120" spans="3:158" ht="20.25" customHeight="1" x14ac:dyDescent="0.25">
      <c r="C120" s="1"/>
      <c r="D120" s="102"/>
      <c r="E120" s="102"/>
      <c r="F120" s="103"/>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113"/>
      <c r="AO120" s="68"/>
      <c r="AP120" s="68"/>
      <c r="AQ120" s="68"/>
      <c r="AR120" s="68"/>
      <c r="AS120" s="68"/>
      <c r="AT120" s="66"/>
      <c r="AU120" s="68"/>
      <c r="AV120" s="68"/>
      <c r="AW120" s="68"/>
      <c r="AX120" s="66"/>
      <c r="AY120" s="68"/>
      <c r="AZ120" s="66"/>
      <c r="BA120" s="68"/>
      <c r="BB120" s="68"/>
      <c r="BC120" s="68"/>
      <c r="BD120" s="68"/>
      <c r="BE120" s="68"/>
      <c r="BF120" s="66"/>
      <c r="BG120" s="66"/>
      <c r="BH120" s="66"/>
      <c r="BI120" s="66"/>
      <c r="BJ120" s="66"/>
      <c r="BK120" s="66"/>
      <c r="BL120" s="66"/>
      <c r="BM120" s="66"/>
      <c r="BN120" s="66"/>
      <c r="BO120" s="66"/>
      <c r="BP120" s="66"/>
      <c r="BQ120" s="66"/>
      <c r="BR120" s="66"/>
      <c r="BS120" s="66"/>
      <c r="BT120" s="66"/>
      <c r="BU120" s="66"/>
      <c r="BV120" s="66"/>
      <c r="BW120" s="66"/>
      <c r="BX120" s="66"/>
      <c r="BY120" s="66"/>
      <c r="BZ120" s="66"/>
      <c r="CA120" s="66"/>
      <c r="CB120" s="66"/>
      <c r="CC120" s="66"/>
      <c r="CD120" s="66"/>
      <c r="CE120" s="66"/>
      <c r="CF120" s="68"/>
      <c r="CG120" s="68"/>
      <c r="CH120" s="66"/>
      <c r="CI120" s="66"/>
      <c r="CJ120" s="68"/>
      <c r="CK120" s="68"/>
      <c r="CL120" s="68"/>
      <c r="CM120" s="68"/>
      <c r="CN120" s="66"/>
      <c r="CO120" s="68"/>
      <c r="CP120" s="66"/>
      <c r="CQ120" s="68"/>
      <c r="CR120" s="68"/>
      <c r="CS120" s="68"/>
      <c r="CT120" s="68"/>
      <c r="CU120" s="68"/>
      <c r="CV120" s="68"/>
      <c r="CW120" s="68"/>
      <c r="CX120" s="68"/>
      <c r="CY120" s="68"/>
      <c r="CZ120" s="68"/>
      <c r="DA120" s="68"/>
      <c r="DB120" s="68"/>
      <c r="DC120" s="68"/>
      <c r="DD120" s="68"/>
      <c r="DE120" s="68"/>
      <c r="DF120" s="68"/>
      <c r="DG120" s="68"/>
      <c r="DH120" s="68"/>
      <c r="DI120" s="68"/>
      <c r="DJ120" s="68"/>
      <c r="DK120" s="68"/>
      <c r="DL120" s="68"/>
      <c r="DM120" s="68"/>
      <c r="DN120" s="68"/>
      <c r="DO120" s="68"/>
      <c r="DP120" s="68"/>
      <c r="DQ120" s="68"/>
      <c r="DR120" s="68"/>
      <c r="DS120" s="68"/>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3"/>
      <c r="ES120" s="3"/>
      <c r="EV120" s="350"/>
      <c r="EW120" s="350"/>
      <c r="EX120" s="1"/>
      <c r="EY120" s="1"/>
      <c r="EZ120" s="350"/>
      <c r="FB120" s="1"/>
    </row>
    <row r="121" spans="3:158" ht="20.25" customHeight="1" x14ac:dyDescent="0.25">
      <c r="C121" s="1"/>
      <c r="D121" s="102"/>
      <c r="E121" s="102"/>
      <c r="F121" s="103"/>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113"/>
      <c r="AO121" s="68"/>
      <c r="AP121" s="68"/>
      <c r="AQ121" s="68"/>
      <c r="AR121" s="68"/>
      <c r="AS121" s="68"/>
      <c r="AT121" s="66"/>
      <c r="AU121" s="68"/>
      <c r="AV121" s="68"/>
      <c r="AW121" s="68"/>
      <c r="AX121" s="66"/>
      <c r="AY121" s="68"/>
      <c r="AZ121" s="66"/>
      <c r="BA121" s="68"/>
      <c r="BB121" s="68"/>
      <c r="BC121" s="68"/>
      <c r="BD121" s="68"/>
      <c r="BE121" s="68"/>
      <c r="BF121" s="66"/>
      <c r="BG121" s="66"/>
      <c r="BH121" s="66"/>
      <c r="BI121" s="66"/>
      <c r="BJ121" s="66"/>
      <c r="BK121" s="66"/>
      <c r="BL121" s="66"/>
      <c r="BM121" s="66"/>
      <c r="BN121" s="66"/>
      <c r="BO121" s="66"/>
      <c r="BP121" s="66"/>
      <c r="BQ121" s="66"/>
      <c r="BR121" s="66"/>
      <c r="BS121" s="66"/>
      <c r="BT121" s="66"/>
      <c r="BU121" s="66"/>
      <c r="BV121" s="66"/>
      <c r="BW121" s="66"/>
      <c r="BX121" s="66"/>
      <c r="BY121" s="66"/>
      <c r="BZ121" s="66"/>
      <c r="CA121" s="66"/>
      <c r="CB121" s="66"/>
      <c r="CC121" s="66"/>
      <c r="CD121" s="66"/>
      <c r="CE121" s="66"/>
      <c r="CF121" s="68"/>
      <c r="CG121" s="68"/>
      <c r="CH121" s="66"/>
      <c r="CI121" s="66"/>
      <c r="CJ121" s="68"/>
      <c r="CK121" s="68"/>
      <c r="CL121" s="68"/>
      <c r="CM121" s="68"/>
      <c r="CN121" s="66"/>
      <c r="CO121" s="68"/>
      <c r="CP121" s="66"/>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3"/>
      <c r="ES121" s="3"/>
      <c r="EV121" s="350"/>
      <c r="EW121" s="350"/>
      <c r="EX121" s="1"/>
      <c r="EY121" s="1"/>
      <c r="EZ121" s="350"/>
      <c r="FB121" s="1"/>
    </row>
    <row r="122" spans="3:158" ht="20.25" customHeight="1" x14ac:dyDescent="0.25">
      <c r="C122" s="1"/>
      <c r="D122" s="102"/>
      <c r="E122" s="102"/>
      <c r="F122" s="103"/>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113"/>
      <c r="AO122" s="68"/>
      <c r="AP122" s="68"/>
      <c r="AQ122" s="68"/>
      <c r="AR122" s="68"/>
      <c r="AS122" s="68"/>
      <c r="AT122" s="66"/>
      <c r="AU122" s="68"/>
      <c r="AV122" s="68"/>
      <c r="AW122" s="68"/>
      <c r="AX122" s="66"/>
      <c r="AY122" s="68"/>
      <c r="AZ122" s="66"/>
      <c r="BA122" s="68"/>
      <c r="BB122" s="68"/>
      <c r="BC122" s="68"/>
      <c r="BD122" s="68"/>
      <c r="BE122" s="68"/>
      <c r="BF122" s="66"/>
      <c r="BG122" s="66"/>
      <c r="BH122" s="66"/>
      <c r="BI122" s="66"/>
      <c r="BJ122" s="66"/>
      <c r="BK122" s="66"/>
      <c r="BL122" s="66"/>
      <c r="BM122" s="66"/>
      <c r="BN122" s="66"/>
      <c r="BO122" s="66"/>
      <c r="BP122" s="66"/>
      <c r="BQ122" s="66"/>
      <c r="BR122" s="66"/>
      <c r="BS122" s="66"/>
      <c r="BT122" s="66"/>
      <c r="BU122" s="66"/>
      <c r="BV122" s="66"/>
      <c r="BW122" s="66"/>
      <c r="BX122" s="66"/>
      <c r="BY122" s="66"/>
      <c r="BZ122" s="66"/>
      <c r="CA122" s="66"/>
      <c r="CB122" s="66"/>
      <c r="CC122" s="66"/>
      <c r="CD122" s="66"/>
      <c r="CE122" s="66"/>
      <c r="CF122" s="68"/>
      <c r="CG122" s="68"/>
      <c r="CH122" s="66"/>
      <c r="CI122" s="66"/>
      <c r="CJ122" s="68"/>
      <c r="CK122" s="68"/>
      <c r="CL122" s="68"/>
      <c r="CM122" s="68"/>
      <c r="CN122" s="66"/>
      <c r="CO122" s="68"/>
      <c r="CP122" s="66"/>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3"/>
      <c r="ES122" s="3"/>
      <c r="EV122" s="350"/>
      <c r="EW122" s="350"/>
      <c r="EX122" s="1"/>
      <c r="EY122" s="1"/>
      <c r="EZ122" s="350"/>
      <c r="FB122" s="1"/>
    </row>
    <row r="123" spans="3:158" ht="20.25" customHeight="1" x14ac:dyDescent="0.25">
      <c r="C123" s="1"/>
      <c r="D123" s="102"/>
      <c r="E123" s="102"/>
      <c r="F123" s="103"/>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113"/>
      <c r="AO123" s="68"/>
      <c r="AP123" s="68"/>
      <c r="AQ123" s="68"/>
      <c r="AR123" s="68"/>
      <c r="AS123" s="68"/>
      <c r="AT123" s="66"/>
      <c r="AU123" s="68"/>
      <c r="AV123" s="68"/>
      <c r="AW123" s="68"/>
      <c r="AX123" s="66"/>
      <c r="AY123" s="68"/>
      <c r="AZ123" s="66"/>
      <c r="BA123" s="68"/>
      <c r="BB123" s="68"/>
      <c r="BC123" s="68"/>
      <c r="BD123" s="68"/>
      <c r="BE123" s="68"/>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c r="CF123" s="68"/>
      <c r="CG123" s="68"/>
      <c r="CH123" s="66"/>
      <c r="CI123" s="66"/>
      <c r="CJ123" s="68"/>
      <c r="CK123" s="68"/>
      <c r="CL123" s="68"/>
      <c r="CM123" s="68"/>
      <c r="CN123" s="66"/>
      <c r="CO123" s="68"/>
      <c r="CP123" s="66"/>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3"/>
      <c r="ES123" s="3"/>
      <c r="EV123" s="350"/>
      <c r="EW123" s="350"/>
      <c r="EX123" s="1"/>
      <c r="EY123" s="1"/>
      <c r="EZ123" s="350"/>
      <c r="FB123" s="1"/>
    </row>
    <row r="124" spans="3:158" ht="20.25" customHeight="1" x14ac:dyDescent="0.25">
      <c r="C124" s="1"/>
      <c r="D124" s="102"/>
      <c r="E124" s="102"/>
      <c r="F124" s="103"/>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113"/>
      <c r="AO124" s="68"/>
      <c r="AP124" s="68"/>
      <c r="AQ124" s="68"/>
      <c r="AR124" s="68"/>
      <c r="AS124" s="68"/>
      <c r="AT124" s="66"/>
      <c r="AU124" s="68"/>
      <c r="AV124" s="68"/>
      <c r="AW124" s="68"/>
      <c r="AX124" s="66"/>
      <c r="AY124" s="68"/>
      <c r="AZ124" s="66"/>
      <c r="BA124" s="68"/>
      <c r="BB124" s="68"/>
      <c r="BC124" s="68"/>
      <c r="BD124" s="68"/>
      <c r="BE124" s="68"/>
      <c r="BF124" s="66"/>
      <c r="BG124" s="66"/>
      <c r="BH124" s="66"/>
      <c r="BI124" s="66"/>
      <c r="BJ124" s="66"/>
      <c r="BK124" s="66"/>
      <c r="BL124" s="66"/>
      <c r="BM124" s="66"/>
      <c r="BN124" s="66"/>
      <c r="BO124" s="66"/>
      <c r="BP124" s="66"/>
      <c r="BQ124" s="66"/>
      <c r="BR124" s="66"/>
      <c r="BS124" s="66"/>
      <c r="BT124" s="66"/>
      <c r="BU124" s="66"/>
      <c r="BV124" s="66"/>
      <c r="BW124" s="66"/>
      <c r="BX124" s="66"/>
      <c r="BY124" s="66"/>
      <c r="BZ124" s="66"/>
      <c r="CA124" s="66"/>
      <c r="CB124" s="66"/>
      <c r="CC124" s="66"/>
      <c r="CD124" s="66"/>
      <c r="CE124" s="66"/>
      <c r="CF124" s="68"/>
      <c r="CG124" s="68"/>
      <c r="CH124" s="66"/>
      <c r="CI124" s="66"/>
      <c r="CJ124" s="68"/>
      <c r="CK124" s="68"/>
      <c r="CL124" s="68"/>
      <c r="CM124" s="68"/>
      <c r="CN124" s="66"/>
      <c r="CO124" s="68"/>
      <c r="CP124" s="66"/>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3"/>
      <c r="ES124" s="3"/>
      <c r="EV124" s="350"/>
      <c r="EW124" s="350"/>
      <c r="EX124" s="1"/>
      <c r="EY124" s="1"/>
      <c r="EZ124" s="350"/>
      <c r="FB124" s="1"/>
    </row>
    <row r="125" spans="3:158" ht="20.25" customHeight="1" x14ac:dyDescent="0.25">
      <c r="C125" s="1"/>
      <c r="D125" s="102"/>
      <c r="E125" s="102"/>
      <c r="F125" s="103"/>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113"/>
      <c r="AO125" s="68"/>
      <c r="AP125" s="68"/>
      <c r="AQ125" s="68"/>
      <c r="AR125" s="68"/>
      <c r="AS125" s="68"/>
      <c r="AT125" s="66"/>
      <c r="AU125" s="68"/>
      <c r="AV125" s="68"/>
      <c r="AW125" s="68"/>
      <c r="AX125" s="66"/>
      <c r="AY125" s="68"/>
      <c r="AZ125" s="66"/>
      <c r="BA125" s="68"/>
      <c r="BB125" s="68"/>
      <c r="BC125" s="68"/>
      <c r="BD125" s="68"/>
      <c r="BE125" s="68"/>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c r="CF125" s="68"/>
      <c r="CG125" s="68"/>
      <c r="CH125" s="66"/>
      <c r="CI125" s="66"/>
      <c r="CJ125" s="68"/>
      <c r="CK125" s="68"/>
      <c r="CL125" s="68"/>
      <c r="CM125" s="68"/>
      <c r="CN125" s="66"/>
      <c r="CO125" s="68"/>
      <c r="CP125" s="66"/>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3"/>
      <c r="ES125" s="3"/>
      <c r="EV125" s="350"/>
      <c r="EW125" s="350"/>
      <c r="EX125" s="1"/>
      <c r="EY125" s="1"/>
      <c r="EZ125" s="350"/>
      <c r="FB125" s="1"/>
    </row>
    <row r="126" spans="3:158" ht="20.25" customHeight="1" x14ac:dyDescent="0.25">
      <c r="C126" s="1"/>
      <c r="D126" s="102"/>
      <c r="E126" s="102"/>
      <c r="F126" s="103"/>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113"/>
      <c r="AO126" s="68"/>
      <c r="AP126" s="68"/>
      <c r="AQ126" s="68"/>
      <c r="AR126" s="68"/>
      <c r="AS126" s="68"/>
      <c r="AT126" s="66"/>
      <c r="AU126" s="68"/>
      <c r="AV126" s="68"/>
      <c r="AW126" s="68"/>
      <c r="AX126" s="66"/>
      <c r="AY126" s="68"/>
      <c r="AZ126" s="66"/>
      <c r="BA126" s="68"/>
      <c r="BB126" s="68"/>
      <c r="BC126" s="68"/>
      <c r="BD126" s="68"/>
      <c r="BE126" s="68"/>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c r="CF126" s="68"/>
      <c r="CG126" s="68"/>
      <c r="CH126" s="66"/>
      <c r="CI126" s="66"/>
      <c r="CJ126" s="68"/>
      <c r="CK126" s="68"/>
      <c r="CL126" s="68"/>
      <c r="CM126" s="68"/>
      <c r="CN126" s="66"/>
      <c r="CO126" s="68"/>
      <c r="CP126" s="66"/>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3"/>
      <c r="ES126" s="3"/>
      <c r="EV126" s="350"/>
      <c r="EW126" s="350"/>
      <c r="EX126" s="1"/>
      <c r="EY126" s="1"/>
      <c r="EZ126" s="350"/>
      <c r="FB126" s="1"/>
    </row>
    <row r="127" spans="3:158" ht="20.25" customHeight="1" x14ac:dyDescent="0.25">
      <c r="C127" s="1"/>
      <c r="D127" s="102"/>
      <c r="E127" s="102"/>
      <c r="F127" s="103"/>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113"/>
      <c r="AO127" s="68"/>
      <c r="AP127" s="68"/>
      <c r="AQ127" s="68"/>
      <c r="AR127" s="68"/>
      <c r="AS127" s="68"/>
      <c r="AT127" s="66"/>
      <c r="AU127" s="68"/>
      <c r="AV127" s="68"/>
      <c r="AW127" s="68"/>
      <c r="AX127" s="66"/>
      <c r="AY127" s="68"/>
      <c r="AZ127" s="66"/>
      <c r="BA127" s="68"/>
      <c r="BB127" s="68"/>
      <c r="BC127" s="68"/>
      <c r="BD127" s="68"/>
      <c r="BE127" s="68"/>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c r="CF127" s="68"/>
      <c r="CG127" s="68"/>
      <c r="CH127" s="66"/>
      <c r="CI127" s="66"/>
      <c r="CJ127" s="68"/>
      <c r="CK127" s="68"/>
      <c r="CL127" s="68"/>
      <c r="CM127" s="68"/>
      <c r="CN127" s="66"/>
      <c r="CO127" s="68"/>
      <c r="CP127" s="66"/>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3"/>
      <c r="ES127" s="3"/>
      <c r="EV127" s="350"/>
      <c r="EW127" s="350"/>
      <c r="EX127" s="1"/>
      <c r="EY127" s="1"/>
      <c r="EZ127" s="350"/>
      <c r="FB127" s="1"/>
    </row>
    <row r="128" spans="3:158" ht="20.25" customHeight="1" x14ac:dyDescent="0.25">
      <c r="C128" s="1"/>
      <c r="D128" s="102"/>
      <c r="E128" s="102"/>
      <c r="F128" s="103"/>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113"/>
      <c r="AO128" s="68"/>
      <c r="AP128" s="68"/>
      <c r="AQ128" s="68"/>
      <c r="AR128" s="68"/>
      <c r="AS128" s="68"/>
      <c r="AT128" s="66"/>
      <c r="AU128" s="68"/>
      <c r="AV128" s="68"/>
      <c r="AW128" s="68"/>
      <c r="AX128" s="66"/>
      <c r="AY128" s="68"/>
      <c r="AZ128" s="66"/>
      <c r="BA128" s="68"/>
      <c r="BB128" s="68"/>
      <c r="BC128" s="68"/>
      <c r="BD128" s="68"/>
      <c r="BE128" s="68"/>
      <c r="BF128" s="66"/>
      <c r="BG128" s="66"/>
      <c r="BH128" s="66"/>
      <c r="BI128" s="66"/>
      <c r="BJ128" s="66"/>
      <c r="BK128" s="66"/>
      <c r="BL128" s="66"/>
      <c r="BM128" s="66"/>
      <c r="BN128" s="66"/>
      <c r="BO128" s="66"/>
      <c r="BP128" s="66"/>
      <c r="BQ128" s="66"/>
      <c r="BR128" s="66"/>
      <c r="BS128" s="66"/>
      <c r="BT128" s="66"/>
      <c r="BU128" s="66"/>
      <c r="BV128" s="66"/>
      <c r="BW128" s="66"/>
      <c r="BX128" s="66"/>
      <c r="BY128" s="66"/>
      <c r="BZ128" s="66"/>
      <c r="CA128" s="66"/>
      <c r="CB128" s="66"/>
      <c r="CC128" s="66"/>
      <c r="CD128" s="66"/>
      <c r="CE128" s="66"/>
      <c r="CF128" s="68"/>
      <c r="CG128" s="68"/>
      <c r="CH128" s="66"/>
      <c r="CI128" s="66"/>
      <c r="CJ128" s="68"/>
      <c r="CK128" s="68"/>
      <c r="CL128" s="68"/>
      <c r="CM128" s="68"/>
      <c r="CN128" s="66"/>
      <c r="CO128" s="68"/>
      <c r="CP128" s="66"/>
      <c r="CQ128" s="68"/>
      <c r="CR128" s="68"/>
      <c r="CS128" s="68"/>
      <c r="CT128" s="68"/>
      <c r="CU128" s="68"/>
      <c r="CV128" s="68"/>
      <c r="CW128" s="68"/>
      <c r="CX128" s="68"/>
      <c r="CY128" s="68"/>
      <c r="CZ128" s="68"/>
      <c r="DA128" s="68"/>
      <c r="DB128" s="68"/>
      <c r="DC128" s="68"/>
      <c r="DD128" s="68"/>
      <c r="DE128" s="68"/>
      <c r="DF128" s="68"/>
      <c r="DG128" s="68"/>
      <c r="DH128" s="68"/>
      <c r="DI128" s="68"/>
      <c r="DJ128" s="68"/>
      <c r="DK128" s="68"/>
      <c r="DL128" s="68"/>
      <c r="DM128" s="68"/>
      <c r="DN128" s="68"/>
      <c r="DO128" s="68"/>
      <c r="DP128" s="68"/>
      <c r="DQ128" s="68"/>
      <c r="DR128" s="68"/>
      <c r="DS128" s="68"/>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3"/>
      <c r="ES128" s="3"/>
      <c r="EV128" s="350"/>
      <c r="EW128" s="350"/>
      <c r="EX128" s="1"/>
      <c r="EY128" s="1"/>
      <c r="EZ128" s="350"/>
      <c r="FB128" s="1"/>
    </row>
    <row r="129" spans="3:158" ht="20.25" customHeight="1" x14ac:dyDescent="0.25">
      <c r="C129" s="1"/>
      <c r="D129" s="102"/>
      <c r="E129" s="102"/>
      <c r="F129" s="103"/>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113"/>
      <c r="AO129" s="68"/>
      <c r="AP129" s="68"/>
      <c r="AQ129" s="68"/>
      <c r="AR129" s="68"/>
      <c r="AS129" s="68"/>
      <c r="AT129" s="66"/>
      <c r="AU129" s="68"/>
      <c r="AV129" s="68"/>
      <c r="AW129" s="68"/>
      <c r="AX129" s="66"/>
      <c r="AY129" s="68"/>
      <c r="AZ129" s="66"/>
      <c r="BA129" s="68"/>
      <c r="BB129" s="68"/>
      <c r="BC129" s="68"/>
      <c r="BD129" s="68"/>
      <c r="BE129" s="68"/>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8"/>
      <c r="CG129" s="68"/>
      <c r="CH129" s="66"/>
      <c r="CI129" s="66"/>
      <c r="CJ129" s="68"/>
      <c r="CK129" s="68"/>
      <c r="CL129" s="68"/>
      <c r="CM129" s="68"/>
      <c r="CN129" s="66"/>
      <c r="CO129" s="68"/>
      <c r="CP129" s="66"/>
      <c r="CQ129" s="68"/>
      <c r="CR129" s="68"/>
      <c r="CS129" s="68"/>
      <c r="CT129" s="68"/>
      <c r="CU129" s="68"/>
      <c r="CV129" s="68"/>
      <c r="CW129" s="68"/>
      <c r="CX129" s="68"/>
      <c r="CY129" s="68"/>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3"/>
      <c r="ES129" s="3"/>
      <c r="EV129" s="350"/>
      <c r="EW129" s="350"/>
      <c r="EX129" s="1"/>
      <c r="EY129" s="1"/>
      <c r="EZ129" s="350"/>
      <c r="FB129" s="1"/>
    </row>
    <row r="130" spans="3:158" ht="20.25" customHeight="1" x14ac:dyDescent="0.25">
      <c r="C130" s="1"/>
      <c r="D130" s="102"/>
      <c r="E130" s="102"/>
      <c r="F130" s="103"/>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113"/>
      <c r="AO130" s="68"/>
      <c r="AP130" s="68"/>
      <c r="AQ130" s="68"/>
      <c r="AR130" s="68"/>
      <c r="AS130" s="68"/>
      <c r="AT130" s="66"/>
      <c r="AU130" s="68"/>
      <c r="AV130" s="68"/>
      <c r="AW130" s="68"/>
      <c r="AX130" s="66"/>
      <c r="AY130" s="68"/>
      <c r="AZ130" s="66"/>
      <c r="BA130" s="68"/>
      <c r="BB130" s="68"/>
      <c r="BC130" s="68"/>
      <c r="BD130" s="68"/>
      <c r="BE130" s="68"/>
      <c r="BF130" s="66"/>
      <c r="BG130" s="66"/>
      <c r="BH130" s="66"/>
      <c r="BI130" s="66"/>
      <c r="BJ130" s="66"/>
      <c r="BK130" s="66"/>
      <c r="BL130" s="66"/>
      <c r="BM130" s="66"/>
      <c r="BN130" s="66"/>
      <c r="BO130" s="66"/>
      <c r="BP130" s="66"/>
      <c r="BQ130" s="66"/>
      <c r="BR130" s="66"/>
      <c r="BS130" s="66"/>
      <c r="BT130" s="66"/>
      <c r="BU130" s="66"/>
      <c r="BV130" s="66"/>
      <c r="BW130" s="66"/>
      <c r="BX130" s="66"/>
      <c r="BY130" s="66"/>
      <c r="BZ130" s="66"/>
      <c r="CA130" s="66"/>
      <c r="CB130" s="66"/>
      <c r="CC130" s="66"/>
      <c r="CD130" s="66"/>
      <c r="CE130" s="66"/>
      <c r="CF130" s="68"/>
      <c r="CG130" s="68"/>
      <c r="CH130" s="66"/>
      <c r="CI130" s="66"/>
      <c r="CJ130" s="68"/>
      <c r="CK130" s="68"/>
      <c r="CL130" s="68"/>
      <c r="CM130" s="68"/>
      <c r="CN130" s="66"/>
      <c r="CO130" s="68"/>
      <c r="CP130" s="66"/>
      <c r="CQ130" s="68"/>
      <c r="CR130" s="68"/>
      <c r="CS130" s="68"/>
      <c r="CT130" s="68"/>
      <c r="CU130" s="68"/>
      <c r="CV130" s="68"/>
      <c r="CW130" s="68"/>
      <c r="CX130" s="68"/>
      <c r="CY130" s="68"/>
      <c r="CZ130" s="68"/>
      <c r="DA130" s="68"/>
      <c r="DB130" s="68"/>
      <c r="DC130" s="68"/>
      <c r="DD130" s="68"/>
      <c r="DE130" s="68"/>
      <c r="DF130" s="68"/>
      <c r="DG130" s="68"/>
      <c r="DH130" s="68"/>
      <c r="DI130" s="68"/>
      <c r="DJ130" s="68"/>
      <c r="DK130" s="68"/>
      <c r="DL130" s="68"/>
      <c r="DM130" s="68"/>
      <c r="DN130" s="68"/>
      <c r="DO130" s="68"/>
      <c r="DP130" s="68"/>
      <c r="DQ130" s="68"/>
      <c r="DR130" s="68"/>
      <c r="DS130" s="68"/>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3"/>
      <c r="ES130" s="3"/>
      <c r="EV130" s="350"/>
      <c r="EW130" s="350"/>
      <c r="EX130" s="1"/>
      <c r="EY130" s="1"/>
      <c r="EZ130" s="350"/>
      <c r="FB130" s="1"/>
    </row>
    <row r="131" spans="3:158" ht="20.25" customHeight="1" x14ac:dyDescent="0.25">
      <c r="C131" s="1"/>
      <c r="D131" s="102"/>
      <c r="E131" s="102"/>
      <c r="F131" s="103"/>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113"/>
      <c r="AO131" s="68"/>
      <c r="AP131" s="68"/>
      <c r="AQ131" s="68"/>
      <c r="AR131" s="68"/>
      <c r="AS131" s="68"/>
      <c r="AT131" s="66"/>
      <c r="AU131" s="68"/>
      <c r="AV131" s="68"/>
      <c r="AW131" s="68"/>
      <c r="AX131" s="66"/>
      <c r="AY131" s="68"/>
      <c r="AZ131" s="66"/>
      <c r="BA131" s="68"/>
      <c r="BB131" s="68"/>
      <c r="BC131" s="68"/>
      <c r="BD131" s="68"/>
      <c r="BE131" s="68"/>
      <c r="BF131" s="66"/>
      <c r="BG131" s="66"/>
      <c r="BH131" s="66"/>
      <c r="BI131" s="66"/>
      <c r="BJ131" s="66"/>
      <c r="BK131" s="66"/>
      <c r="BL131" s="66"/>
      <c r="BM131" s="66"/>
      <c r="BN131" s="66"/>
      <c r="BO131" s="66"/>
      <c r="BP131" s="66"/>
      <c r="BQ131" s="66"/>
      <c r="BR131" s="66"/>
      <c r="BS131" s="66"/>
      <c r="BT131" s="66"/>
      <c r="BU131" s="66"/>
      <c r="BV131" s="66"/>
      <c r="BW131" s="66"/>
      <c r="BX131" s="66"/>
      <c r="BY131" s="66"/>
      <c r="BZ131" s="66"/>
      <c r="CA131" s="66"/>
      <c r="CB131" s="66"/>
      <c r="CC131" s="66"/>
      <c r="CD131" s="66"/>
      <c r="CE131" s="66"/>
      <c r="CF131" s="68"/>
      <c r="CG131" s="68"/>
      <c r="CH131" s="66"/>
      <c r="CI131" s="66"/>
      <c r="CJ131" s="68"/>
      <c r="CK131" s="68"/>
      <c r="CL131" s="68"/>
      <c r="CM131" s="68"/>
      <c r="CN131" s="66"/>
      <c r="CO131" s="68"/>
      <c r="CP131" s="66"/>
      <c r="CQ131" s="68"/>
      <c r="CR131" s="68"/>
      <c r="CS131" s="68"/>
      <c r="CT131" s="68"/>
      <c r="CU131" s="68"/>
      <c r="CV131" s="68"/>
      <c r="CW131" s="68"/>
      <c r="CX131" s="68"/>
      <c r="CY131" s="68"/>
      <c r="CZ131" s="68"/>
      <c r="DA131" s="68"/>
      <c r="DB131" s="68"/>
      <c r="DC131" s="68"/>
      <c r="DD131" s="68"/>
      <c r="DE131" s="68"/>
      <c r="DF131" s="68"/>
      <c r="DG131" s="68"/>
      <c r="DH131" s="68"/>
      <c r="DI131" s="68"/>
      <c r="DJ131" s="68"/>
      <c r="DK131" s="68"/>
      <c r="DL131" s="68"/>
      <c r="DM131" s="68"/>
      <c r="DN131" s="68"/>
      <c r="DO131" s="68"/>
      <c r="DP131" s="68"/>
      <c r="DQ131" s="68"/>
      <c r="DR131" s="68"/>
      <c r="DS131" s="68"/>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3"/>
      <c r="ES131" s="3"/>
      <c r="EV131" s="350"/>
      <c r="EW131" s="350"/>
      <c r="EX131" s="1"/>
      <c r="EY131" s="1"/>
      <c r="EZ131" s="350"/>
      <c r="FB131" s="1"/>
    </row>
    <row r="132" spans="3:158" ht="20.25" customHeight="1" x14ac:dyDescent="0.25">
      <c r="C132" s="1"/>
      <c r="D132" s="102"/>
      <c r="E132" s="102"/>
      <c r="F132" s="103"/>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113"/>
      <c r="AO132" s="68"/>
      <c r="AP132" s="68"/>
      <c r="AQ132" s="68"/>
      <c r="AR132" s="68"/>
      <c r="AS132" s="68"/>
      <c r="AT132" s="66"/>
      <c r="AU132" s="68"/>
      <c r="AV132" s="68"/>
      <c r="AW132" s="68"/>
      <c r="AX132" s="66"/>
      <c r="AY132" s="68"/>
      <c r="AZ132" s="66"/>
      <c r="BA132" s="68"/>
      <c r="BB132" s="68"/>
      <c r="BC132" s="68"/>
      <c r="BD132" s="68"/>
      <c r="BE132" s="68"/>
      <c r="BF132" s="66"/>
      <c r="BG132" s="66"/>
      <c r="BH132" s="66"/>
      <c r="BI132" s="66"/>
      <c r="BJ132" s="66"/>
      <c r="BK132" s="66"/>
      <c r="BL132" s="66"/>
      <c r="BM132" s="66"/>
      <c r="BN132" s="66"/>
      <c r="BO132" s="66"/>
      <c r="BP132" s="66"/>
      <c r="BQ132" s="66"/>
      <c r="BR132" s="66"/>
      <c r="BS132" s="66"/>
      <c r="BT132" s="66"/>
      <c r="BU132" s="66"/>
      <c r="BV132" s="66"/>
      <c r="BW132" s="66"/>
      <c r="BX132" s="66"/>
      <c r="BY132" s="66"/>
      <c r="BZ132" s="66"/>
      <c r="CA132" s="66"/>
      <c r="CB132" s="66"/>
      <c r="CC132" s="66"/>
      <c r="CD132" s="66"/>
      <c r="CE132" s="66"/>
      <c r="CF132" s="68"/>
      <c r="CG132" s="68"/>
      <c r="CH132" s="66"/>
      <c r="CI132" s="66"/>
      <c r="CJ132" s="68"/>
      <c r="CK132" s="68"/>
      <c r="CL132" s="68"/>
      <c r="CM132" s="68"/>
      <c r="CN132" s="66"/>
      <c r="CO132" s="68"/>
      <c r="CP132" s="66"/>
      <c r="CQ132" s="68"/>
      <c r="CR132" s="68"/>
      <c r="CS132" s="68"/>
      <c r="CT132" s="68"/>
      <c r="CU132" s="68"/>
      <c r="CV132" s="68"/>
      <c r="CW132" s="68"/>
      <c r="CX132" s="68"/>
      <c r="CY132" s="68"/>
      <c r="CZ132" s="68"/>
      <c r="DA132" s="68"/>
      <c r="DB132" s="68"/>
      <c r="DC132" s="68"/>
      <c r="DD132" s="68"/>
      <c r="DE132" s="68"/>
      <c r="DF132" s="68"/>
      <c r="DG132" s="68"/>
      <c r="DH132" s="68"/>
      <c r="DI132" s="68"/>
      <c r="DJ132" s="68"/>
      <c r="DK132" s="68"/>
      <c r="DL132" s="68"/>
      <c r="DM132" s="68"/>
      <c r="DN132" s="68"/>
      <c r="DO132" s="68"/>
      <c r="DP132" s="68"/>
      <c r="DQ132" s="68"/>
      <c r="DR132" s="68"/>
      <c r="DS132" s="68"/>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3"/>
      <c r="ES132" s="3"/>
      <c r="EV132" s="350"/>
      <c r="EW132" s="350"/>
      <c r="EX132" s="1"/>
      <c r="EY132" s="1"/>
      <c r="EZ132" s="350"/>
      <c r="FB132" s="1"/>
    </row>
    <row r="133" spans="3:158" ht="20.25" customHeight="1" x14ac:dyDescent="0.25">
      <c r="C133" s="1"/>
      <c r="D133" s="102"/>
      <c r="E133" s="102"/>
      <c r="F133" s="103"/>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113"/>
      <c r="AO133" s="68"/>
      <c r="AP133" s="68"/>
      <c r="AQ133" s="68"/>
      <c r="AR133" s="68"/>
      <c r="AS133" s="68"/>
      <c r="AT133" s="66"/>
      <c r="AU133" s="68"/>
      <c r="AV133" s="68"/>
      <c r="AW133" s="68"/>
      <c r="AX133" s="66"/>
      <c r="AY133" s="68"/>
      <c r="AZ133" s="66"/>
      <c r="BA133" s="68"/>
      <c r="BB133" s="68"/>
      <c r="BC133" s="68"/>
      <c r="BD133" s="68"/>
      <c r="BE133" s="68"/>
      <c r="BF133" s="66"/>
      <c r="BG133" s="66"/>
      <c r="BH133" s="66"/>
      <c r="BI133" s="66"/>
      <c r="BJ133" s="66"/>
      <c r="BK133" s="66"/>
      <c r="BL133" s="66"/>
      <c r="BM133" s="66"/>
      <c r="BN133" s="66"/>
      <c r="BO133" s="66"/>
      <c r="BP133" s="66"/>
      <c r="BQ133" s="66"/>
      <c r="BR133" s="66"/>
      <c r="BS133" s="66"/>
      <c r="BT133" s="66"/>
      <c r="BU133" s="66"/>
      <c r="BV133" s="66"/>
      <c r="BW133" s="66"/>
      <c r="BX133" s="66"/>
      <c r="BY133" s="66"/>
      <c r="BZ133" s="66"/>
      <c r="CA133" s="66"/>
      <c r="CB133" s="66"/>
      <c r="CC133" s="66"/>
      <c r="CD133" s="66"/>
      <c r="CE133" s="66"/>
      <c r="CF133" s="68"/>
      <c r="CG133" s="68"/>
      <c r="CH133" s="66"/>
      <c r="CI133" s="66"/>
      <c r="CJ133" s="68"/>
      <c r="CK133" s="68"/>
      <c r="CL133" s="68"/>
      <c r="CM133" s="68"/>
      <c r="CN133" s="66"/>
      <c r="CO133" s="68"/>
      <c r="CP133" s="66"/>
      <c r="CQ133" s="68"/>
      <c r="CR133" s="68"/>
      <c r="CS133" s="68"/>
      <c r="CT133" s="68"/>
      <c r="CU133" s="68"/>
      <c r="CV133" s="68"/>
      <c r="CW133" s="68"/>
      <c r="CX133" s="68"/>
      <c r="CY133" s="68"/>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3"/>
      <c r="ES133" s="3"/>
      <c r="EV133" s="350"/>
      <c r="EW133" s="350"/>
      <c r="EX133" s="1"/>
      <c r="EY133" s="1"/>
      <c r="EZ133" s="350"/>
      <c r="FB133" s="1"/>
    </row>
    <row r="134" spans="3:158" ht="20.25" customHeight="1" x14ac:dyDescent="0.25">
      <c r="C134" s="1"/>
      <c r="D134" s="102"/>
      <c r="E134" s="102"/>
      <c r="F134" s="103"/>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113"/>
      <c r="AO134" s="68"/>
      <c r="AP134" s="68"/>
      <c r="AQ134" s="68"/>
      <c r="AR134" s="68"/>
      <c r="AS134" s="68"/>
      <c r="AT134" s="66"/>
      <c r="AU134" s="68"/>
      <c r="AV134" s="68"/>
      <c r="AW134" s="68"/>
      <c r="AX134" s="66"/>
      <c r="AY134" s="68"/>
      <c r="AZ134" s="66"/>
      <c r="BA134" s="68"/>
      <c r="BB134" s="68"/>
      <c r="BC134" s="68"/>
      <c r="BD134" s="68"/>
      <c r="BE134" s="68"/>
      <c r="BF134" s="66"/>
      <c r="BG134" s="66"/>
      <c r="BH134" s="66"/>
      <c r="BI134" s="66"/>
      <c r="BJ134" s="66"/>
      <c r="BK134" s="66"/>
      <c r="BL134" s="66"/>
      <c r="BM134" s="66"/>
      <c r="BN134" s="66"/>
      <c r="BO134" s="66"/>
      <c r="BP134" s="66"/>
      <c r="BQ134" s="66"/>
      <c r="BR134" s="66"/>
      <c r="BS134" s="66"/>
      <c r="BT134" s="66"/>
      <c r="BU134" s="66"/>
      <c r="BV134" s="66"/>
      <c r="BW134" s="66"/>
      <c r="BX134" s="66"/>
      <c r="BY134" s="66"/>
      <c r="BZ134" s="66"/>
      <c r="CA134" s="66"/>
      <c r="CB134" s="66"/>
      <c r="CC134" s="66"/>
      <c r="CD134" s="66"/>
      <c r="CE134" s="66"/>
      <c r="CF134" s="68"/>
      <c r="CG134" s="68"/>
      <c r="CH134" s="66"/>
      <c r="CI134" s="66"/>
      <c r="CJ134" s="68"/>
      <c r="CK134" s="68"/>
      <c r="CL134" s="68"/>
      <c r="CM134" s="68"/>
      <c r="CN134" s="66"/>
      <c r="CO134" s="68"/>
      <c r="CP134" s="66"/>
      <c r="CQ134" s="68"/>
      <c r="CR134" s="68"/>
      <c r="CS134" s="68"/>
      <c r="CT134" s="68"/>
      <c r="CU134" s="68"/>
      <c r="CV134" s="68"/>
      <c r="CW134" s="68"/>
      <c r="CX134" s="68"/>
      <c r="CY134" s="68"/>
      <c r="CZ134" s="68"/>
      <c r="DA134" s="68"/>
      <c r="DB134" s="68"/>
      <c r="DC134" s="68"/>
      <c r="DD134" s="68"/>
      <c r="DE134" s="68"/>
      <c r="DF134" s="68"/>
      <c r="DG134" s="68"/>
      <c r="DH134" s="68"/>
      <c r="DI134" s="68"/>
      <c r="DJ134" s="68"/>
      <c r="DK134" s="68"/>
      <c r="DL134" s="68"/>
      <c r="DM134" s="68"/>
      <c r="DN134" s="68"/>
      <c r="DO134" s="68"/>
      <c r="DP134" s="68"/>
      <c r="DQ134" s="68"/>
      <c r="DR134" s="68"/>
      <c r="DS134" s="68"/>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3"/>
      <c r="ES134" s="3"/>
      <c r="EV134" s="350"/>
      <c r="EW134" s="350"/>
      <c r="EX134" s="1"/>
      <c r="EY134" s="1"/>
      <c r="EZ134" s="350"/>
      <c r="FB134" s="1"/>
    </row>
    <row r="135" spans="3:158" ht="20.25" customHeight="1" x14ac:dyDescent="0.25">
      <c r="C135" s="1"/>
      <c r="D135" s="102"/>
      <c r="E135" s="102"/>
      <c r="F135" s="103"/>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113"/>
      <c r="AO135" s="68"/>
      <c r="AP135" s="68"/>
      <c r="AQ135" s="68"/>
      <c r="AR135" s="68"/>
      <c r="AS135" s="68"/>
      <c r="AT135" s="66"/>
      <c r="AU135" s="68"/>
      <c r="AV135" s="68"/>
      <c r="AW135" s="68"/>
      <c r="AX135" s="66"/>
      <c r="AY135" s="68"/>
      <c r="AZ135" s="66"/>
      <c r="BA135" s="68"/>
      <c r="BB135" s="68"/>
      <c r="BC135" s="68"/>
      <c r="BD135" s="68"/>
      <c r="BE135" s="68"/>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8"/>
      <c r="CG135" s="68"/>
      <c r="CH135" s="66"/>
      <c r="CI135" s="66"/>
      <c r="CJ135" s="68"/>
      <c r="CK135" s="68"/>
      <c r="CL135" s="68"/>
      <c r="CM135" s="68"/>
      <c r="CN135" s="66"/>
      <c r="CO135" s="68"/>
      <c r="CP135" s="66"/>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3"/>
      <c r="ES135" s="3"/>
      <c r="EV135" s="350"/>
      <c r="EW135" s="350"/>
      <c r="EX135" s="1"/>
      <c r="EY135" s="1"/>
      <c r="EZ135" s="350"/>
      <c r="FB135" s="1"/>
    </row>
    <row r="136" spans="3:158" ht="20.25" customHeight="1" x14ac:dyDescent="0.25">
      <c r="C136" s="1"/>
      <c r="D136" s="102"/>
      <c r="E136" s="102"/>
      <c r="F136" s="103"/>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113"/>
      <c r="AO136" s="68"/>
      <c r="AP136" s="68"/>
      <c r="AQ136" s="68"/>
      <c r="AR136" s="68"/>
      <c r="AS136" s="68"/>
      <c r="AT136" s="66"/>
      <c r="AU136" s="68"/>
      <c r="AV136" s="68"/>
      <c r="AW136" s="68"/>
      <c r="AX136" s="66"/>
      <c r="AY136" s="68"/>
      <c r="AZ136" s="66"/>
      <c r="BA136" s="68"/>
      <c r="BB136" s="68"/>
      <c r="BC136" s="68"/>
      <c r="BD136" s="68"/>
      <c r="BE136" s="68"/>
      <c r="BF136" s="66"/>
      <c r="BG136" s="66"/>
      <c r="BH136" s="66"/>
      <c r="BI136" s="66"/>
      <c r="BJ136" s="66"/>
      <c r="BK136" s="66"/>
      <c r="BL136" s="66"/>
      <c r="BM136" s="66"/>
      <c r="BN136" s="66"/>
      <c r="BO136" s="66"/>
      <c r="BP136" s="66"/>
      <c r="BQ136" s="66"/>
      <c r="BR136" s="66"/>
      <c r="BS136" s="66"/>
      <c r="BT136" s="66"/>
      <c r="BU136" s="66"/>
      <c r="BV136" s="66"/>
      <c r="BW136" s="66"/>
      <c r="BX136" s="66"/>
      <c r="BY136" s="66"/>
      <c r="BZ136" s="66"/>
      <c r="CA136" s="66"/>
      <c r="CB136" s="66"/>
      <c r="CC136" s="66"/>
      <c r="CD136" s="66"/>
      <c r="CE136" s="66"/>
      <c r="CF136" s="68"/>
      <c r="CG136" s="68"/>
      <c r="CH136" s="66"/>
      <c r="CI136" s="66"/>
      <c r="CJ136" s="68"/>
      <c r="CK136" s="68"/>
      <c r="CL136" s="68"/>
      <c r="CM136" s="68"/>
      <c r="CN136" s="66"/>
      <c r="CO136" s="68"/>
      <c r="CP136" s="66"/>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3"/>
      <c r="ES136" s="3"/>
      <c r="EV136" s="350"/>
      <c r="EW136" s="350"/>
      <c r="EX136" s="1"/>
      <c r="EY136" s="1"/>
      <c r="EZ136" s="350"/>
      <c r="FB136" s="1"/>
    </row>
    <row r="137" spans="3:158" ht="20.25" customHeight="1" x14ac:dyDescent="0.25">
      <c r="C137" s="1"/>
      <c r="D137" s="102"/>
      <c r="E137" s="102"/>
      <c r="F137" s="103"/>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113"/>
      <c r="AO137" s="68"/>
      <c r="AP137" s="68"/>
      <c r="AQ137" s="68"/>
      <c r="AR137" s="68"/>
      <c r="AS137" s="68"/>
      <c r="AT137" s="66"/>
      <c r="AU137" s="68"/>
      <c r="AV137" s="68"/>
      <c r="AW137" s="68"/>
      <c r="AX137" s="66"/>
      <c r="AY137" s="68"/>
      <c r="AZ137" s="66"/>
      <c r="BA137" s="68"/>
      <c r="BB137" s="68"/>
      <c r="BC137" s="68"/>
      <c r="BD137" s="68"/>
      <c r="BE137" s="68"/>
      <c r="BF137" s="66"/>
      <c r="BG137" s="66"/>
      <c r="BH137" s="66"/>
      <c r="BI137" s="66"/>
      <c r="BJ137" s="66"/>
      <c r="BK137" s="66"/>
      <c r="BL137" s="66"/>
      <c r="BM137" s="66"/>
      <c r="BN137" s="66"/>
      <c r="BO137" s="66"/>
      <c r="BP137" s="66"/>
      <c r="BQ137" s="66"/>
      <c r="BR137" s="66"/>
      <c r="BS137" s="66"/>
      <c r="BT137" s="66"/>
      <c r="BU137" s="66"/>
      <c r="BV137" s="66"/>
      <c r="BW137" s="66"/>
      <c r="BX137" s="66"/>
      <c r="BY137" s="66"/>
      <c r="BZ137" s="66"/>
      <c r="CA137" s="66"/>
      <c r="CB137" s="66"/>
      <c r="CC137" s="66"/>
      <c r="CD137" s="66"/>
      <c r="CE137" s="66"/>
      <c r="CF137" s="68"/>
      <c r="CG137" s="68"/>
      <c r="CH137" s="66"/>
      <c r="CI137" s="66"/>
      <c r="CJ137" s="68"/>
      <c r="CK137" s="68"/>
      <c r="CL137" s="68"/>
      <c r="CM137" s="68"/>
      <c r="CN137" s="66"/>
      <c r="CO137" s="68"/>
      <c r="CP137" s="66"/>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3"/>
      <c r="ES137" s="3"/>
      <c r="EV137" s="350"/>
      <c r="EW137" s="350"/>
      <c r="EX137" s="1"/>
      <c r="EY137" s="1"/>
      <c r="EZ137" s="350"/>
      <c r="FB137" s="1"/>
    </row>
    <row r="138" spans="3:158" ht="20.25" customHeight="1" x14ac:dyDescent="0.25">
      <c r="C138" s="1"/>
      <c r="D138" s="102"/>
      <c r="E138" s="102"/>
      <c r="F138" s="103"/>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113"/>
      <c r="AO138" s="68"/>
      <c r="AP138" s="68"/>
      <c r="AQ138" s="68"/>
      <c r="AR138" s="68"/>
      <c r="AS138" s="68"/>
      <c r="AT138" s="66"/>
      <c r="AU138" s="68"/>
      <c r="AV138" s="68"/>
      <c r="AW138" s="68"/>
      <c r="AX138" s="66"/>
      <c r="AY138" s="68"/>
      <c r="AZ138" s="66"/>
      <c r="BA138" s="68"/>
      <c r="BB138" s="68"/>
      <c r="BC138" s="68"/>
      <c r="BD138" s="68"/>
      <c r="BE138" s="68"/>
      <c r="BF138" s="66"/>
      <c r="BG138" s="66"/>
      <c r="BH138" s="66"/>
      <c r="BI138" s="66"/>
      <c r="BJ138" s="66"/>
      <c r="BK138" s="66"/>
      <c r="BL138" s="66"/>
      <c r="BM138" s="66"/>
      <c r="BN138" s="66"/>
      <c r="BO138" s="66"/>
      <c r="BP138" s="66"/>
      <c r="BQ138" s="66"/>
      <c r="BR138" s="66"/>
      <c r="BS138" s="66"/>
      <c r="BT138" s="66"/>
      <c r="BU138" s="66"/>
      <c r="BV138" s="66"/>
      <c r="BW138" s="66"/>
      <c r="BX138" s="66"/>
      <c r="BY138" s="66"/>
      <c r="BZ138" s="66"/>
      <c r="CA138" s="66"/>
      <c r="CB138" s="66"/>
      <c r="CC138" s="66"/>
      <c r="CD138" s="66"/>
      <c r="CE138" s="66"/>
      <c r="CF138" s="68"/>
      <c r="CG138" s="68"/>
      <c r="CH138" s="66"/>
      <c r="CI138" s="66"/>
      <c r="CJ138" s="68"/>
      <c r="CK138" s="68"/>
      <c r="CL138" s="68"/>
      <c r="CM138" s="68"/>
      <c r="CN138" s="66"/>
      <c r="CO138" s="68"/>
      <c r="CP138" s="66"/>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3"/>
      <c r="ES138" s="3"/>
      <c r="EV138" s="350"/>
      <c r="EW138" s="350"/>
      <c r="EX138" s="1"/>
      <c r="EY138" s="1"/>
      <c r="EZ138" s="350"/>
      <c r="FB138" s="1"/>
    </row>
    <row r="139" spans="3:158" ht="20.25" customHeight="1" x14ac:dyDescent="0.25">
      <c r="C139" s="1"/>
      <c r="D139" s="102"/>
      <c r="E139" s="102"/>
      <c r="F139" s="103"/>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113"/>
      <c r="AO139" s="68"/>
      <c r="AP139" s="68"/>
      <c r="AQ139" s="68"/>
      <c r="AR139" s="68"/>
      <c r="AS139" s="68"/>
      <c r="AT139" s="66"/>
      <c r="AU139" s="68"/>
      <c r="AV139" s="68"/>
      <c r="AW139" s="68"/>
      <c r="AX139" s="66"/>
      <c r="AY139" s="68"/>
      <c r="AZ139" s="66"/>
      <c r="BA139" s="68"/>
      <c r="BB139" s="68"/>
      <c r="BC139" s="68"/>
      <c r="BD139" s="68"/>
      <c r="BE139" s="68"/>
      <c r="BF139" s="66"/>
      <c r="BG139" s="66"/>
      <c r="BH139" s="66"/>
      <c r="BI139" s="66"/>
      <c r="BJ139" s="66"/>
      <c r="BK139" s="66"/>
      <c r="BL139" s="66"/>
      <c r="BM139" s="66"/>
      <c r="BN139" s="66"/>
      <c r="BO139" s="66"/>
      <c r="BP139" s="66"/>
      <c r="BQ139" s="66"/>
      <c r="BR139" s="66"/>
      <c r="BS139" s="66"/>
      <c r="BT139" s="66"/>
      <c r="BU139" s="66"/>
      <c r="BV139" s="66"/>
      <c r="BW139" s="66"/>
      <c r="BX139" s="66"/>
      <c r="BY139" s="66"/>
      <c r="BZ139" s="66"/>
      <c r="CA139" s="66"/>
      <c r="CB139" s="66"/>
      <c r="CC139" s="66"/>
      <c r="CD139" s="66"/>
      <c r="CE139" s="66"/>
      <c r="CF139" s="68"/>
      <c r="CG139" s="68"/>
      <c r="CH139" s="66"/>
      <c r="CI139" s="66"/>
      <c r="CJ139" s="68"/>
      <c r="CK139" s="68"/>
      <c r="CL139" s="68"/>
      <c r="CM139" s="68"/>
      <c r="CN139" s="66"/>
      <c r="CO139" s="68"/>
      <c r="CP139" s="66"/>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3"/>
      <c r="ES139" s="3"/>
      <c r="EV139" s="350"/>
      <c r="EW139" s="350"/>
      <c r="EX139" s="1"/>
      <c r="EY139" s="1"/>
      <c r="EZ139" s="350"/>
      <c r="FB139" s="1"/>
    </row>
    <row r="140" spans="3:158" ht="20.25" customHeight="1" x14ac:dyDescent="0.25">
      <c r="C140" s="1"/>
      <c r="D140" s="102"/>
      <c r="E140" s="102"/>
      <c r="F140" s="103"/>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113"/>
      <c r="AO140" s="68"/>
      <c r="AP140" s="68"/>
      <c r="AQ140" s="68"/>
      <c r="AR140" s="68"/>
      <c r="AS140" s="68"/>
      <c r="AT140" s="66"/>
      <c r="AU140" s="68"/>
      <c r="AV140" s="68"/>
      <c r="AW140" s="68"/>
      <c r="AX140" s="66"/>
      <c r="AY140" s="68"/>
      <c r="AZ140" s="66"/>
      <c r="BA140" s="68"/>
      <c r="BB140" s="68"/>
      <c r="BC140" s="68"/>
      <c r="BD140" s="68"/>
      <c r="BE140" s="68"/>
      <c r="BF140" s="66"/>
      <c r="BG140" s="66"/>
      <c r="BH140" s="66"/>
      <c r="BI140" s="66"/>
      <c r="BJ140" s="66"/>
      <c r="BK140" s="66"/>
      <c r="BL140" s="66"/>
      <c r="BM140" s="66"/>
      <c r="BN140" s="66"/>
      <c r="BO140" s="66"/>
      <c r="BP140" s="66"/>
      <c r="BQ140" s="66"/>
      <c r="BR140" s="66"/>
      <c r="BS140" s="66"/>
      <c r="BT140" s="66"/>
      <c r="BU140" s="66"/>
      <c r="BV140" s="66"/>
      <c r="BW140" s="66"/>
      <c r="BX140" s="66"/>
      <c r="BY140" s="66"/>
      <c r="BZ140" s="66"/>
      <c r="CA140" s="66"/>
      <c r="CB140" s="66"/>
      <c r="CC140" s="66"/>
      <c r="CD140" s="66"/>
      <c r="CE140" s="66"/>
      <c r="CF140" s="68"/>
      <c r="CG140" s="68"/>
      <c r="CH140" s="66"/>
      <c r="CI140" s="66"/>
      <c r="CJ140" s="68"/>
      <c r="CK140" s="68"/>
      <c r="CL140" s="68"/>
      <c r="CM140" s="68"/>
      <c r="CN140" s="66"/>
      <c r="CO140" s="68"/>
      <c r="CP140" s="66"/>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3"/>
      <c r="ES140" s="3"/>
      <c r="EV140" s="350"/>
      <c r="EW140" s="350"/>
      <c r="EX140" s="1"/>
      <c r="EY140" s="1"/>
      <c r="EZ140" s="350"/>
      <c r="FB140" s="1"/>
    </row>
    <row r="141" spans="3:158" ht="20.25" customHeight="1" x14ac:dyDescent="0.25">
      <c r="C141" s="1"/>
      <c r="D141" s="102"/>
      <c r="E141" s="102"/>
      <c r="F141" s="103"/>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113"/>
      <c r="AO141" s="68"/>
      <c r="AP141" s="68"/>
      <c r="AQ141" s="68"/>
      <c r="AR141" s="68"/>
      <c r="AS141" s="68"/>
      <c r="AT141" s="66"/>
      <c r="AU141" s="68"/>
      <c r="AV141" s="68"/>
      <c r="AW141" s="68"/>
      <c r="AX141" s="66"/>
      <c r="AY141" s="68"/>
      <c r="AZ141" s="66"/>
      <c r="BA141" s="68"/>
      <c r="BB141" s="68"/>
      <c r="BC141" s="68"/>
      <c r="BD141" s="68"/>
      <c r="BE141" s="68"/>
      <c r="BF141" s="66"/>
      <c r="BG141" s="66"/>
      <c r="BH141" s="66"/>
      <c r="BI141" s="66"/>
      <c r="BJ141" s="66"/>
      <c r="BK141" s="66"/>
      <c r="BL141" s="66"/>
      <c r="BM141" s="66"/>
      <c r="BN141" s="66"/>
      <c r="BO141" s="66"/>
      <c r="BP141" s="66"/>
      <c r="BQ141" s="66"/>
      <c r="BR141" s="66"/>
      <c r="BS141" s="66"/>
      <c r="BT141" s="66"/>
      <c r="BU141" s="66"/>
      <c r="BV141" s="66"/>
      <c r="BW141" s="66"/>
      <c r="BX141" s="66"/>
      <c r="BY141" s="66"/>
      <c r="BZ141" s="66"/>
      <c r="CA141" s="66"/>
      <c r="CB141" s="66"/>
      <c r="CC141" s="66"/>
      <c r="CD141" s="66"/>
      <c r="CE141" s="66"/>
      <c r="CF141" s="68"/>
      <c r="CG141" s="68"/>
      <c r="CH141" s="66"/>
      <c r="CI141" s="66"/>
      <c r="CJ141" s="68"/>
      <c r="CK141" s="68"/>
      <c r="CL141" s="68"/>
      <c r="CM141" s="68"/>
      <c r="CN141" s="66"/>
      <c r="CO141" s="68"/>
      <c r="CP141" s="66"/>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3"/>
      <c r="ES141" s="3"/>
      <c r="EV141" s="350"/>
      <c r="EW141" s="350"/>
      <c r="EX141" s="1"/>
      <c r="EY141" s="1"/>
      <c r="EZ141" s="350"/>
      <c r="FB141" s="1"/>
    </row>
    <row r="142" spans="3:158" ht="20.25" customHeight="1" x14ac:dyDescent="0.25">
      <c r="C142" s="1"/>
      <c r="D142" s="102"/>
      <c r="E142" s="102"/>
      <c r="F142" s="103"/>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113"/>
      <c r="AO142" s="68"/>
      <c r="AP142" s="68"/>
      <c r="AQ142" s="68"/>
      <c r="AR142" s="68"/>
      <c r="AS142" s="68"/>
      <c r="AT142" s="66"/>
      <c r="AU142" s="68"/>
      <c r="AV142" s="68"/>
      <c r="AW142" s="68"/>
      <c r="AX142" s="66"/>
      <c r="AY142" s="68"/>
      <c r="AZ142" s="66"/>
      <c r="BA142" s="68"/>
      <c r="BB142" s="68"/>
      <c r="BC142" s="68"/>
      <c r="BD142" s="68"/>
      <c r="BE142" s="68"/>
      <c r="BF142" s="66"/>
      <c r="BG142" s="66"/>
      <c r="BH142" s="66"/>
      <c r="BI142" s="66"/>
      <c r="BJ142" s="66"/>
      <c r="BK142" s="66"/>
      <c r="BL142" s="66"/>
      <c r="BM142" s="66"/>
      <c r="BN142" s="66"/>
      <c r="BO142" s="66"/>
      <c r="BP142" s="66"/>
      <c r="BQ142" s="66"/>
      <c r="BR142" s="66"/>
      <c r="BS142" s="66"/>
      <c r="BT142" s="66"/>
      <c r="BU142" s="66"/>
      <c r="BV142" s="66"/>
      <c r="BW142" s="66"/>
      <c r="BX142" s="66"/>
      <c r="BY142" s="66"/>
      <c r="BZ142" s="66"/>
      <c r="CA142" s="66"/>
      <c r="CB142" s="66"/>
      <c r="CC142" s="66"/>
      <c r="CD142" s="66"/>
      <c r="CE142" s="66"/>
      <c r="CF142" s="68"/>
      <c r="CG142" s="68"/>
      <c r="CH142" s="66"/>
      <c r="CI142" s="66"/>
      <c r="CJ142" s="68"/>
      <c r="CK142" s="68"/>
      <c r="CL142" s="68"/>
      <c r="CM142" s="68"/>
      <c r="CN142" s="66"/>
      <c r="CO142" s="68"/>
      <c r="CP142" s="66"/>
      <c r="CQ142" s="68"/>
      <c r="CR142" s="68"/>
      <c r="CS142" s="68"/>
      <c r="CT142" s="68"/>
      <c r="CU142" s="68"/>
      <c r="CV142" s="68"/>
      <c r="CW142" s="68"/>
      <c r="CX142" s="68"/>
      <c r="CY142" s="68"/>
      <c r="CZ142" s="68"/>
      <c r="DA142" s="68"/>
      <c r="DB142" s="68"/>
      <c r="DC142" s="68"/>
      <c r="DD142" s="68"/>
      <c r="DE142" s="68"/>
      <c r="DF142" s="68"/>
      <c r="DG142" s="68"/>
      <c r="DH142" s="68"/>
      <c r="DI142" s="68"/>
      <c r="DJ142" s="68"/>
      <c r="DK142" s="68"/>
      <c r="DL142" s="68"/>
      <c r="DM142" s="68"/>
      <c r="DN142" s="68"/>
      <c r="DO142" s="68"/>
      <c r="DP142" s="68"/>
      <c r="DQ142" s="68"/>
      <c r="DR142" s="68"/>
      <c r="DS142" s="68"/>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3"/>
      <c r="ES142" s="3"/>
      <c r="EV142" s="350"/>
      <c r="EW142" s="350"/>
      <c r="EX142" s="1"/>
      <c r="EY142" s="1"/>
      <c r="EZ142" s="350"/>
      <c r="FB142" s="1"/>
    </row>
    <row r="143" spans="3:158" ht="20.25" customHeight="1" x14ac:dyDescent="0.25">
      <c r="C143" s="1"/>
      <c r="D143" s="102"/>
      <c r="E143" s="102"/>
      <c r="F143" s="103"/>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113"/>
      <c r="AO143" s="68"/>
      <c r="AP143" s="68"/>
      <c r="AQ143" s="68"/>
      <c r="AR143" s="68"/>
      <c r="AS143" s="68"/>
      <c r="AT143" s="66"/>
      <c r="AU143" s="68"/>
      <c r="AV143" s="68"/>
      <c r="AW143" s="68"/>
      <c r="AX143" s="66"/>
      <c r="AY143" s="68"/>
      <c r="AZ143" s="66"/>
      <c r="BA143" s="68"/>
      <c r="BB143" s="68"/>
      <c r="BC143" s="68"/>
      <c r="BD143" s="68"/>
      <c r="BE143" s="68"/>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8"/>
      <c r="CG143" s="68"/>
      <c r="CH143" s="66"/>
      <c r="CI143" s="66"/>
      <c r="CJ143" s="68"/>
      <c r="CK143" s="68"/>
      <c r="CL143" s="68"/>
      <c r="CM143" s="68"/>
      <c r="CN143" s="66"/>
      <c r="CO143" s="68"/>
      <c r="CP143" s="66"/>
      <c r="CQ143" s="68"/>
      <c r="CR143" s="68"/>
      <c r="CS143" s="68"/>
      <c r="CT143" s="68"/>
      <c r="CU143" s="68"/>
      <c r="CV143" s="68"/>
      <c r="CW143" s="68"/>
      <c r="CX143" s="68"/>
      <c r="CY143" s="68"/>
      <c r="CZ143" s="68"/>
      <c r="DA143" s="68"/>
      <c r="DB143" s="68"/>
      <c r="DC143" s="68"/>
      <c r="DD143" s="68"/>
      <c r="DE143" s="68"/>
      <c r="DF143" s="68"/>
      <c r="DG143" s="68"/>
      <c r="DH143" s="68"/>
      <c r="DI143" s="68"/>
      <c r="DJ143" s="68"/>
      <c r="DK143" s="68"/>
      <c r="DL143" s="68"/>
      <c r="DM143" s="68"/>
      <c r="DN143" s="68"/>
      <c r="DO143" s="68"/>
      <c r="DP143" s="68"/>
      <c r="DQ143" s="68"/>
      <c r="DR143" s="68"/>
      <c r="DS143" s="68"/>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3"/>
      <c r="ES143" s="3"/>
      <c r="EV143" s="350"/>
      <c r="EW143" s="350"/>
      <c r="EX143" s="1"/>
      <c r="EY143" s="1"/>
      <c r="EZ143" s="350"/>
      <c r="FB143" s="1"/>
    </row>
    <row r="144" spans="3:158" ht="20.25" customHeight="1" x14ac:dyDescent="0.25">
      <c r="C144" s="1"/>
      <c r="D144" s="102"/>
      <c r="E144" s="102"/>
      <c r="F144" s="103"/>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113"/>
      <c r="AO144" s="68"/>
      <c r="AP144" s="68"/>
      <c r="AQ144" s="68"/>
      <c r="AR144" s="68"/>
      <c r="AS144" s="68"/>
      <c r="AT144" s="66"/>
      <c r="AU144" s="68"/>
      <c r="AV144" s="68"/>
      <c r="AW144" s="68"/>
      <c r="AX144" s="66"/>
      <c r="AY144" s="68"/>
      <c r="AZ144" s="66"/>
      <c r="BA144" s="68"/>
      <c r="BB144" s="68"/>
      <c r="BC144" s="68"/>
      <c r="BD144" s="68"/>
      <c r="BE144" s="68"/>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8"/>
      <c r="CG144" s="68"/>
      <c r="CH144" s="66"/>
      <c r="CI144" s="66"/>
      <c r="CJ144" s="68"/>
      <c r="CK144" s="68"/>
      <c r="CL144" s="68"/>
      <c r="CM144" s="68"/>
      <c r="CN144" s="66"/>
      <c r="CO144" s="68"/>
      <c r="CP144" s="66"/>
      <c r="CQ144" s="68"/>
      <c r="CR144" s="68"/>
      <c r="CS144" s="68"/>
      <c r="CT144" s="68"/>
      <c r="CU144" s="68"/>
      <c r="CV144" s="68"/>
      <c r="CW144" s="68"/>
      <c r="CX144" s="68"/>
      <c r="CY144" s="68"/>
      <c r="CZ144" s="68"/>
      <c r="DA144" s="68"/>
      <c r="DB144" s="68"/>
      <c r="DC144" s="68"/>
      <c r="DD144" s="68"/>
      <c r="DE144" s="68"/>
      <c r="DF144" s="68"/>
      <c r="DG144" s="68"/>
      <c r="DH144" s="68"/>
      <c r="DI144" s="68"/>
      <c r="DJ144" s="68"/>
      <c r="DK144" s="68"/>
      <c r="DL144" s="68"/>
      <c r="DM144" s="68"/>
      <c r="DN144" s="68"/>
      <c r="DO144" s="68"/>
      <c r="DP144" s="68"/>
      <c r="DQ144" s="68"/>
      <c r="DR144" s="68"/>
      <c r="DS144" s="68"/>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3"/>
      <c r="ES144" s="3"/>
      <c r="EV144" s="350"/>
      <c r="EW144" s="350"/>
      <c r="EX144" s="1"/>
      <c r="EY144" s="1"/>
      <c r="EZ144" s="350"/>
      <c r="FB144" s="1"/>
    </row>
    <row r="145" spans="3:158" ht="20.25" customHeight="1" x14ac:dyDescent="0.25">
      <c r="C145" s="1"/>
      <c r="D145" s="102"/>
      <c r="E145" s="102"/>
      <c r="F145" s="103"/>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113"/>
      <c r="AO145" s="68"/>
      <c r="AP145" s="68"/>
      <c r="AQ145" s="68"/>
      <c r="AR145" s="68"/>
      <c r="AS145" s="68"/>
      <c r="AT145" s="66"/>
      <c r="AU145" s="68"/>
      <c r="AV145" s="68"/>
      <c r="AW145" s="68"/>
      <c r="AX145" s="66"/>
      <c r="AY145" s="68"/>
      <c r="AZ145" s="66"/>
      <c r="BA145" s="68"/>
      <c r="BB145" s="68"/>
      <c r="BC145" s="68"/>
      <c r="BD145" s="68"/>
      <c r="BE145" s="68"/>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8"/>
      <c r="CG145" s="68"/>
      <c r="CH145" s="66"/>
      <c r="CI145" s="66"/>
      <c r="CJ145" s="68"/>
      <c r="CK145" s="68"/>
      <c r="CL145" s="68"/>
      <c r="CM145" s="68"/>
      <c r="CN145" s="66"/>
      <c r="CO145" s="68"/>
      <c r="CP145" s="66"/>
      <c r="CQ145" s="68"/>
      <c r="CR145" s="68"/>
      <c r="CS145" s="68"/>
      <c r="CT145" s="68"/>
      <c r="CU145" s="68"/>
      <c r="CV145" s="68"/>
      <c r="CW145" s="68"/>
      <c r="CX145" s="68"/>
      <c r="CY145" s="68"/>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3"/>
      <c r="ES145" s="3"/>
      <c r="EV145" s="350"/>
      <c r="EW145" s="350"/>
      <c r="EX145" s="1"/>
      <c r="EY145" s="1"/>
      <c r="EZ145" s="350"/>
      <c r="FB145" s="1"/>
    </row>
    <row r="146" spans="3:158" ht="20.25" customHeight="1" x14ac:dyDescent="0.25">
      <c r="C146" s="1"/>
      <c r="D146" s="102"/>
      <c r="E146" s="102"/>
      <c r="F146" s="103"/>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113"/>
      <c r="AO146" s="68"/>
      <c r="AP146" s="68"/>
      <c r="AQ146" s="68"/>
      <c r="AR146" s="68"/>
      <c r="AS146" s="68"/>
      <c r="AT146" s="66"/>
      <c r="AU146" s="68"/>
      <c r="AV146" s="68"/>
      <c r="AW146" s="68"/>
      <c r="AX146" s="66"/>
      <c r="AY146" s="68"/>
      <c r="AZ146" s="66"/>
      <c r="BA146" s="68"/>
      <c r="BB146" s="68"/>
      <c r="BC146" s="68"/>
      <c r="BD146" s="68"/>
      <c r="BE146" s="68"/>
      <c r="BF146" s="66"/>
      <c r="BG146" s="66"/>
      <c r="BH146" s="66"/>
      <c r="BI146" s="66"/>
      <c r="BJ146" s="66"/>
      <c r="BK146" s="66"/>
      <c r="BL146" s="66"/>
      <c r="BM146" s="66"/>
      <c r="BN146" s="66"/>
      <c r="BO146" s="66"/>
      <c r="BP146" s="66"/>
      <c r="BQ146" s="66"/>
      <c r="BR146" s="66"/>
      <c r="BS146" s="66"/>
      <c r="BT146" s="66"/>
      <c r="BU146" s="66"/>
      <c r="BV146" s="66"/>
      <c r="BW146" s="66"/>
      <c r="BX146" s="66"/>
      <c r="BY146" s="66"/>
      <c r="BZ146" s="66"/>
      <c r="CA146" s="66"/>
      <c r="CB146" s="66"/>
      <c r="CC146" s="66"/>
      <c r="CD146" s="66"/>
      <c r="CE146" s="66"/>
      <c r="CF146" s="68"/>
      <c r="CG146" s="68"/>
      <c r="CH146" s="66"/>
      <c r="CI146" s="66"/>
      <c r="CJ146" s="68"/>
      <c r="CK146" s="68"/>
      <c r="CL146" s="68"/>
      <c r="CM146" s="68"/>
      <c r="CN146" s="66"/>
      <c r="CO146" s="68"/>
      <c r="CP146" s="66"/>
      <c r="CQ146" s="68"/>
      <c r="CR146" s="68"/>
      <c r="CS146" s="68"/>
      <c r="CT146" s="68"/>
      <c r="CU146" s="68"/>
      <c r="CV146" s="68"/>
      <c r="CW146" s="68"/>
      <c r="CX146" s="68"/>
      <c r="CY146" s="68"/>
      <c r="CZ146" s="68"/>
      <c r="DA146" s="68"/>
      <c r="DB146" s="68"/>
      <c r="DC146" s="68"/>
      <c r="DD146" s="68"/>
      <c r="DE146" s="68"/>
      <c r="DF146" s="68"/>
      <c r="DG146" s="68"/>
      <c r="DH146" s="68"/>
      <c r="DI146" s="68"/>
      <c r="DJ146" s="68"/>
      <c r="DK146" s="68"/>
      <c r="DL146" s="68"/>
      <c r="DM146" s="68"/>
      <c r="DN146" s="68"/>
      <c r="DO146" s="68"/>
      <c r="DP146" s="68"/>
      <c r="DQ146" s="68"/>
      <c r="DR146" s="68"/>
      <c r="DS146" s="68"/>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3"/>
      <c r="ES146" s="3"/>
      <c r="EV146" s="350"/>
      <c r="EW146" s="350"/>
      <c r="EX146" s="1"/>
      <c r="EY146" s="1"/>
      <c r="EZ146" s="350"/>
      <c r="FB146" s="1"/>
    </row>
    <row r="147" spans="3:158" ht="20.25" customHeight="1" x14ac:dyDescent="0.25">
      <c r="C147" s="1"/>
      <c r="D147" s="102"/>
      <c r="E147" s="102"/>
      <c r="F147" s="103"/>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113"/>
      <c r="AO147" s="68"/>
      <c r="AP147" s="68"/>
      <c r="AQ147" s="68"/>
      <c r="AR147" s="68"/>
      <c r="AS147" s="68"/>
      <c r="AT147" s="66"/>
      <c r="AU147" s="68"/>
      <c r="AV147" s="68"/>
      <c r="AW147" s="68"/>
      <c r="AX147" s="66"/>
      <c r="AY147" s="68"/>
      <c r="AZ147" s="66"/>
      <c r="BA147" s="68"/>
      <c r="BB147" s="68"/>
      <c r="BC147" s="68"/>
      <c r="BD147" s="68"/>
      <c r="BE147" s="68"/>
      <c r="BF147" s="66"/>
      <c r="BG147" s="66"/>
      <c r="BH147" s="66"/>
      <c r="BI147" s="66"/>
      <c r="BJ147" s="66"/>
      <c r="BK147" s="66"/>
      <c r="BL147" s="66"/>
      <c r="BM147" s="66"/>
      <c r="BN147" s="66"/>
      <c r="BO147" s="66"/>
      <c r="BP147" s="66"/>
      <c r="BQ147" s="66"/>
      <c r="BR147" s="66"/>
      <c r="BS147" s="66"/>
      <c r="BT147" s="66"/>
      <c r="BU147" s="66"/>
      <c r="BV147" s="66"/>
      <c r="BW147" s="66"/>
      <c r="BX147" s="66"/>
      <c r="BY147" s="66"/>
      <c r="BZ147" s="66"/>
      <c r="CA147" s="66"/>
      <c r="CB147" s="66"/>
      <c r="CC147" s="66"/>
      <c r="CD147" s="66"/>
      <c r="CE147" s="66"/>
      <c r="CF147" s="68"/>
      <c r="CG147" s="68"/>
      <c r="CH147" s="66"/>
      <c r="CI147" s="66"/>
      <c r="CJ147" s="68"/>
      <c r="CK147" s="68"/>
      <c r="CL147" s="68"/>
      <c r="CM147" s="68"/>
      <c r="CN147" s="66"/>
      <c r="CO147" s="68"/>
      <c r="CP147" s="66"/>
      <c r="CQ147" s="68"/>
      <c r="CR147" s="68"/>
      <c r="CS147" s="68"/>
      <c r="CT147" s="68"/>
      <c r="CU147" s="68"/>
      <c r="CV147" s="68"/>
      <c r="CW147" s="68"/>
      <c r="CX147" s="68"/>
      <c r="CY147" s="68"/>
      <c r="CZ147" s="68"/>
      <c r="DA147" s="68"/>
      <c r="DB147" s="68"/>
      <c r="DC147" s="68"/>
      <c r="DD147" s="68"/>
      <c r="DE147" s="68"/>
      <c r="DF147" s="68"/>
      <c r="DG147" s="68"/>
      <c r="DH147" s="68"/>
      <c r="DI147" s="68"/>
      <c r="DJ147" s="68"/>
      <c r="DK147" s="68"/>
      <c r="DL147" s="68"/>
      <c r="DM147" s="68"/>
      <c r="DN147" s="68"/>
      <c r="DO147" s="68"/>
      <c r="DP147" s="68"/>
      <c r="DQ147" s="68"/>
      <c r="DR147" s="68"/>
      <c r="DS147" s="68"/>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3"/>
      <c r="ES147" s="3"/>
      <c r="EV147" s="350"/>
      <c r="EW147" s="350"/>
      <c r="EX147" s="1"/>
      <c r="EY147" s="1"/>
      <c r="EZ147" s="350"/>
      <c r="FB147" s="1"/>
    </row>
    <row r="148" spans="3:158" ht="20.25" customHeight="1" x14ac:dyDescent="0.25">
      <c r="C148" s="1"/>
      <c r="D148" s="102"/>
      <c r="E148" s="102"/>
      <c r="F148" s="103"/>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113"/>
      <c r="AO148" s="68"/>
      <c r="AP148" s="68"/>
      <c r="AQ148" s="68"/>
      <c r="AR148" s="68"/>
      <c r="AS148" s="68"/>
      <c r="AT148" s="66"/>
      <c r="AU148" s="68"/>
      <c r="AV148" s="68"/>
      <c r="AW148" s="68"/>
      <c r="AX148" s="66"/>
      <c r="AY148" s="68"/>
      <c r="AZ148" s="66"/>
      <c r="BA148" s="68"/>
      <c r="BB148" s="68"/>
      <c r="BC148" s="68"/>
      <c r="BD148" s="68"/>
      <c r="BE148" s="68"/>
      <c r="BF148" s="66"/>
      <c r="BG148" s="66"/>
      <c r="BH148" s="66"/>
      <c r="BI148" s="66"/>
      <c r="BJ148" s="66"/>
      <c r="BK148" s="66"/>
      <c r="BL148" s="66"/>
      <c r="BM148" s="66"/>
      <c r="BN148" s="66"/>
      <c r="BO148" s="66"/>
      <c r="BP148" s="66"/>
      <c r="BQ148" s="66"/>
      <c r="BR148" s="66"/>
      <c r="BS148" s="66"/>
      <c r="BT148" s="66"/>
      <c r="BU148" s="66"/>
      <c r="BV148" s="66"/>
      <c r="BW148" s="66"/>
      <c r="BX148" s="66"/>
      <c r="BY148" s="66"/>
      <c r="BZ148" s="66"/>
      <c r="CA148" s="66"/>
      <c r="CB148" s="66"/>
      <c r="CC148" s="66"/>
      <c r="CD148" s="66"/>
      <c r="CE148" s="66"/>
      <c r="CF148" s="68"/>
      <c r="CG148" s="68"/>
      <c r="CH148" s="66"/>
      <c r="CI148" s="66"/>
      <c r="CJ148" s="68"/>
      <c r="CK148" s="68"/>
      <c r="CL148" s="68"/>
      <c r="CM148" s="68"/>
      <c r="CN148" s="66"/>
      <c r="CO148" s="68"/>
      <c r="CP148" s="66"/>
      <c r="CQ148" s="68"/>
      <c r="CR148" s="68"/>
      <c r="CS148" s="68"/>
      <c r="CT148" s="68"/>
      <c r="CU148" s="68"/>
      <c r="CV148" s="68"/>
      <c r="CW148" s="68"/>
      <c r="CX148" s="68"/>
      <c r="CY148" s="68"/>
      <c r="CZ148" s="68"/>
      <c r="DA148" s="68"/>
      <c r="DB148" s="68"/>
      <c r="DC148" s="68"/>
      <c r="DD148" s="68"/>
      <c r="DE148" s="68"/>
      <c r="DF148" s="68"/>
      <c r="DG148" s="68"/>
      <c r="DH148" s="68"/>
      <c r="DI148" s="68"/>
      <c r="DJ148" s="68"/>
      <c r="DK148" s="68"/>
      <c r="DL148" s="68"/>
      <c r="DM148" s="68"/>
      <c r="DN148" s="68"/>
      <c r="DO148" s="68"/>
      <c r="DP148" s="68"/>
      <c r="DQ148" s="68"/>
      <c r="DR148" s="68"/>
      <c r="DS148" s="68"/>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3"/>
      <c r="ES148" s="3"/>
      <c r="EV148" s="350"/>
      <c r="EW148" s="350"/>
      <c r="EX148" s="1"/>
      <c r="EY148" s="1"/>
      <c r="EZ148" s="350"/>
      <c r="FB148" s="1"/>
    </row>
    <row r="149" spans="3:158" ht="20.25" customHeight="1" x14ac:dyDescent="0.25">
      <c r="C149" s="1"/>
      <c r="D149" s="102"/>
      <c r="E149" s="102"/>
      <c r="F149" s="103"/>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113"/>
      <c r="AO149" s="68"/>
      <c r="AP149" s="68"/>
      <c r="AQ149" s="68"/>
      <c r="AR149" s="68"/>
      <c r="AS149" s="68"/>
      <c r="AT149" s="66"/>
      <c r="AU149" s="68"/>
      <c r="AV149" s="68"/>
      <c r="AW149" s="68"/>
      <c r="AX149" s="66"/>
      <c r="AY149" s="68"/>
      <c r="AZ149" s="66"/>
      <c r="BA149" s="68"/>
      <c r="BB149" s="68"/>
      <c r="BC149" s="68"/>
      <c r="BD149" s="68"/>
      <c r="BE149" s="68"/>
      <c r="BF149" s="66"/>
      <c r="BG149" s="66"/>
      <c r="BH149" s="66"/>
      <c r="BI149" s="66"/>
      <c r="BJ149" s="66"/>
      <c r="BK149" s="66"/>
      <c r="BL149" s="66"/>
      <c r="BM149" s="66"/>
      <c r="BN149" s="66"/>
      <c r="BO149" s="66"/>
      <c r="BP149" s="66"/>
      <c r="BQ149" s="66"/>
      <c r="BR149" s="66"/>
      <c r="BS149" s="66"/>
      <c r="BT149" s="66"/>
      <c r="BU149" s="66"/>
      <c r="BV149" s="66"/>
      <c r="BW149" s="66"/>
      <c r="BX149" s="66"/>
      <c r="BY149" s="66"/>
      <c r="BZ149" s="66"/>
      <c r="CA149" s="66"/>
      <c r="CB149" s="66"/>
      <c r="CC149" s="66"/>
      <c r="CD149" s="66"/>
      <c r="CE149" s="66"/>
      <c r="CF149" s="68"/>
      <c r="CG149" s="68"/>
      <c r="CH149" s="66"/>
      <c r="CI149" s="66"/>
      <c r="CJ149" s="68"/>
      <c r="CK149" s="68"/>
      <c r="CL149" s="68"/>
      <c r="CM149" s="68"/>
      <c r="CN149" s="66"/>
      <c r="CO149" s="68"/>
      <c r="CP149" s="66"/>
      <c r="CQ149" s="68"/>
      <c r="CR149" s="68"/>
      <c r="CS149" s="68"/>
      <c r="CT149" s="68"/>
      <c r="CU149" s="68"/>
      <c r="CV149" s="68"/>
      <c r="CW149" s="68"/>
      <c r="CX149" s="68"/>
      <c r="CY149" s="68"/>
      <c r="CZ149" s="68"/>
      <c r="DA149" s="68"/>
      <c r="DB149" s="68"/>
      <c r="DC149" s="68"/>
      <c r="DD149" s="68"/>
      <c r="DE149" s="68"/>
      <c r="DF149" s="68"/>
      <c r="DG149" s="68"/>
      <c r="DH149" s="68"/>
      <c r="DI149" s="68"/>
      <c r="DJ149" s="68"/>
      <c r="DK149" s="68"/>
      <c r="DL149" s="68"/>
      <c r="DM149" s="68"/>
      <c r="DN149" s="68"/>
      <c r="DO149" s="68"/>
      <c r="DP149" s="68"/>
      <c r="DQ149" s="68"/>
      <c r="DR149" s="68"/>
      <c r="DS149" s="68"/>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3"/>
      <c r="ES149" s="3"/>
      <c r="EV149" s="350"/>
      <c r="EW149" s="350"/>
      <c r="EX149" s="1"/>
      <c r="EY149" s="1"/>
      <c r="EZ149" s="350"/>
      <c r="FB149" s="1"/>
    </row>
    <row r="150" spans="3:158" ht="20.25" customHeight="1" x14ac:dyDescent="0.25">
      <c r="C150" s="1"/>
      <c r="D150" s="102"/>
      <c r="E150" s="102"/>
      <c r="F150" s="103"/>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113"/>
      <c r="AO150" s="68"/>
      <c r="AP150" s="68"/>
      <c r="AQ150" s="68"/>
      <c r="AR150" s="68"/>
      <c r="AS150" s="68"/>
      <c r="AT150" s="66"/>
      <c r="AU150" s="68"/>
      <c r="AV150" s="68"/>
      <c r="AW150" s="68"/>
      <c r="AX150" s="66"/>
      <c r="AY150" s="68"/>
      <c r="AZ150" s="66"/>
      <c r="BA150" s="68"/>
      <c r="BB150" s="68"/>
      <c r="BC150" s="68"/>
      <c r="BD150" s="68"/>
      <c r="BE150" s="68"/>
      <c r="BF150" s="66"/>
      <c r="BG150" s="66"/>
      <c r="BH150" s="66"/>
      <c r="BI150" s="66"/>
      <c r="BJ150" s="66"/>
      <c r="BK150" s="66"/>
      <c r="BL150" s="66"/>
      <c r="BM150" s="66"/>
      <c r="BN150" s="66"/>
      <c r="BO150" s="66"/>
      <c r="BP150" s="66"/>
      <c r="BQ150" s="66"/>
      <c r="BR150" s="66"/>
      <c r="BS150" s="66"/>
      <c r="BT150" s="66"/>
      <c r="BU150" s="66"/>
      <c r="BV150" s="66"/>
      <c r="BW150" s="66"/>
      <c r="BX150" s="66"/>
      <c r="BY150" s="66"/>
      <c r="BZ150" s="66"/>
      <c r="CA150" s="66"/>
      <c r="CB150" s="66"/>
      <c r="CC150" s="66"/>
      <c r="CD150" s="66"/>
      <c r="CE150" s="66"/>
      <c r="CF150" s="68"/>
      <c r="CG150" s="68"/>
      <c r="CH150" s="66"/>
      <c r="CI150" s="66"/>
      <c r="CJ150" s="68"/>
      <c r="CK150" s="68"/>
      <c r="CL150" s="68"/>
      <c r="CM150" s="68"/>
      <c r="CN150" s="66"/>
      <c r="CO150" s="68"/>
      <c r="CP150" s="66"/>
      <c r="CQ150" s="68"/>
      <c r="CR150" s="68"/>
      <c r="CS150" s="68"/>
      <c r="CT150" s="68"/>
      <c r="CU150" s="68"/>
      <c r="CV150" s="68"/>
      <c r="CW150" s="68"/>
      <c r="CX150" s="68"/>
      <c r="CY150" s="68"/>
      <c r="CZ150" s="68"/>
      <c r="DA150" s="68"/>
      <c r="DB150" s="68"/>
      <c r="DC150" s="68"/>
      <c r="DD150" s="68"/>
      <c r="DE150" s="68"/>
      <c r="DF150" s="68"/>
      <c r="DG150" s="68"/>
      <c r="DH150" s="68"/>
      <c r="DI150" s="68"/>
      <c r="DJ150" s="68"/>
      <c r="DK150" s="68"/>
      <c r="DL150" s="68"/>
      <c r="DM150" s="68"/>
      <c r="DN150" s="68"/>
      <c r="DO150" s="68"/>
      <c r="DP150" s="68"/>
      <c r="DQ150" s="68"/>
      <c r="DR150" s="68"/>
      <c r="DS150" s="68"/>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3"/>
      <c r="ES150" s="3"/>
      <c r="EV150" s="350"/>
      <c r="EW150" s="350"/>
      <c r="EX150" s="1"/>
      <c r="EY150" s="1"/>
      <c r="EZ150" s="350"/>
      <c r="FB150" s="1"/>
    </row>
    <row r="151" spans="3:158" ht="20.25" customHeight="1" x14ac:dyDescent="0.25">
      <c r="C151" s="1"/>
      <c r="D151" s="102"/>
      <c r="E151" s="102"/>
      <c r="F151" s="103"/>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113"/>
      <c r="AO151" s="68"/>
      <c r="AP151" s="68"/>
      <c r="AQ151" s="68"/>
      <c r="AR151" s="68"/>
      <c r="AS151" s="68"/>
      <c r="AT151" s="66"/>
      <c r="AU151" s="68"/>
      <c r="AV151" s="68"/>
      <c r="AW151" s="68"/>
      <c r="AX151" s="66"/>
      <c r="AY151" s="68"/>
      <c r="AZ151" s="66"/>
      <c r="BA151" s="68"/>
      <c r="BB151" s="68"/>
      <c r="BC151" s="68"/>
      <c r="BD151" s="68"/>
      <c r="BE151" s="68"/>
      <c r="BF151" s="66"/>
      <c r="BG151" s="66"/>
      <c r="BH151" s="66"/>
      <c r="BI151" s="66"/>
      <c r="BJ151" s="66"/>
      <c r="BK151" s="66"/>
      <c r="BL151" s="66"/>
      <c r="BM151" s="66"/>
      <c r="BN151" s="66"/>
      <c r="BO151" s="66"/>
      <c r="BP151" s="66"/>
      <c r="BQ151" s="66"/>
      <c r="BR151" s="66"/>
      <c r="BS151" s="66"/>
      <c r="BT151" s="66"/>
      <c r="BU151" s="66"/>
      <c r="BV151" s="66"/>
      <c r="BW151" s="66"/>
      <c r="BX151" s="66"/>
      <c r="BY151" s="66"/>
      <c r="BZ151" s="66"/>
      <c r="CA151" s="66"/>
      <c r="CB151" s="66"/>
      <c r="CC151" s="66"/>
      <c r="CD151" s="66"/>
      <c r="CE151" s="66"/>
      <c r="CF151" s="68"/>
      <c r="CG151" s="68"/>
      <c r="CH151" s="66"/>
      <c r="CI151" s="66"/>
      <c r="CJ151" s="68"/>
      <c r="CK151" s="68"/>
      <c r="CL151" s="68"/>
      <c r="CM151" s="68"/>
      <c r="CN151" s="66"/>
      <c r="CO151" s="68"/>
      <c r="CP151" s="66"/>
      <c r="CQ151" s="68"/>
      <c r="CR151" s="68"/>
      <c r="CS151" s="68"/>
      <c r="CT151" s="68"/>
      <c r="CU151" s="68"/>
      <c r="CV151" s="68"/>
      <c r="CW151" s="68"/>
      <c r="CX151" s="68"/>
      <c r="CY151" s="68"/>
      <c r="CZ151" s="68"/>
      <c r="DA151" s="68"/>
      <c r="DB151" s="68"/>
      <c r="DC151" s="68"/>
      <c r="DD151" s="68"/>
      <c r="DE151" s="68"/>
      <c r="DF151" s="68"/>
      <c r="DG151" s="68"/>
      <c r="DH151" s="68"/>
      <c r="DI151" s="68"/>
      <c r="DJ151" s="68"/>
      <c r="DK151" s="68"/>
      <c r="DL151" s="68"/>
      <c r="DM151" s="68"/>
      <c r="DN151" s="68"/>
      <c r="DO151" s="68"/>
      <c r="DP151" s="68"/>
      <c r="DQ151" s="68"/>
      <c r="DR151" s="68"/>
      <c r="DS151" s="68"/>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3"/>
      <c r="ES151" s="3"/>
      <c r="EV151" s="350"/>
      <c r="EW151" s="350"/>
      <c r="EX151" s="1"/>
      <c r="EY151" s="1"/>
      <c r="EZ151" s="350"/>
      <c r="FB151" s="1"/>
    </row>
    <row r="152" spans="3:158" ht="20.25" customHeight="1" x14ac:dyDescent="0.25">
      <c r="C152" s="1"/>
      <c r="D152" s="102"/>
      <c r="E152" s="102"/>
      <c r="F152" s="103"/>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113"/>
      <c r="AO152" s="68"/>
      <c r="AP152" s="68"/>
      <c r="AQ152" s="68"/>
      <c r="AR152" s="68"/>
      <c r="AS152" s="68"/>
      <c r="AT152" s="66"/>
      <c r="AU152" s="68"/>
      <c r="AV152" s="68"/>
      <c r="AW152" s="68"/>
      <c r="AX152" s="66"/>
      <c r="AY152" s="68"/>
      <c r="AZ152" s="66"/>
      <c r="BA152" s="68"/>
      <c r="BB152" s="68"/>
      <c r="BC152" s="68"/>
      <c r="BD152" s="68"/>
      <c r="BE152" s="68"/>
      <c r="BF152" s="66"/>
      <c r="BG152" s="66"/>
      <c r="BH152" s="66"/>
      <c r="BI152" s="66"/>
      <c r="BJ152" s="66"/>
      <c r="BK152" s="66"/>
      <c r="BL152" s="66"/>
      <c r="BM152" s="66"/>
      <c r="BN152" s="66"/>
      <c r="BO152" s="66"/>
      <c r="BP152" s="66"/>
      <c r="BQ152" s="66"/>
      <c r="BR152" s="66"/>
      <c r="BS152" s="66"/>
      <c r="BT152" s="66"/>
      <c r="BU152" s="66"/>
      <c r="BV152" s="66"/>
      <c r="BW152" s="66"/>
      <c r="BX152" s="66"/>
      <c r="BY152" s="66"/>
      <c r="BZ152" s="66"/>
      <c r="CA152" s="66"/>
      <c r="CB152" s="66"/>
      <c r="CC152" s="66"/>
      <c r="CD152" s="66"/>
      <c r="CE152" s="66"/>
      <c r="CF152" s="68"/>
      <c r="CG152" s="68"/>
      <c r="CH152" s="66"/>
      <c r="CI152" s="66"/>
      <c r="CJ152" s="68"/>
      <c r="CK152" s="68"/>
      <c r="CL152" s="68"/>
      <c r="CM152" s="68"/>
      <c r="CN152" s="66"/>
      <c r="CO152" s="68"/>
      <c r="CP152" s="66"/>
      <c r="CQ152" s="68"/>
      <c r="CR152" s="68"/>
      <c r="CS152" s="68"/>
      <c r="CT152" s="68"/>
      <c r="CU152" s="68"/>
      <c r="CV152" s="68"/>
      <c r="CW152" s="68"/>
      <c r="CX152" s="68"/>
      <c r="CY152" s="68"/>
      <c r="CZ152" s="68"/>
      <c r="DA152" s="68"/>
      <c r="DB152" s="68"/>
      <c r="DC152" s="68"/>
      <c r="DD152" s="68"/>
      <c r="DE152" s="68"/>
      <c r="DF152" s="68"/>
      <c r="DG152" s="68"/>
      <c r="DH152" s="68"/>
      <c r="DI152" s="68"/>
      <c r="DJ152" s="68"/>
      <c r="DK152" s="68"/>
      <c r="DL152" s="68"/>
      <c r="DM152" s="68"/>
      <c r="DN152" s="68"/>
      <c r="DO152" s="68"/>
      <c r="DP152" s="68"/>
      <c r="DQ152" s="68"/>
      <c r="DR152" s="68"/>
      <c r="DS152" s="68"/>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3"/>
      <c r="ES152" s="3"/>
      <c r="EV152" s="350"/>
      <c r="EW152" s="350"/>
      <c r="EX152" s="1"/>
      <c r="EY152" s="1"/>
      <c r="EZ152" s="350"/>
      <c r="FB152" s="1"/>
    </row>
    <row r="153" spans="3:158" ht="20.25" customHeight="1" x14ac:dyDescent="0.25">
      <c r="C153" s="1"/>
      <c r="D153" s="102"/>
      <c r="E153" s="102"/>
      <c r="F153" s="103"/>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113"/>
      <c r="AO153" s="68"/>
      <c r="AP153" s="68"/>
      <c r="AQ153" s="68"/>
      <c r="AR153" s="68"/>
      <c r="AS153" s="68"/>
      <c r="AT153" s="66"/>
      <c r="AU153" s="68"/>
      <c r="AV153" s="68"/>
      <c r="AW153" s="68"/>
      <c r="AX153" s="66"/>
      <c r="AY153" s="68"/>
      <c r="AZ153" s="66"/>
      <c r="BA153" s="68"/>
      <c r="BB153" s="68"/>
      <c r="BC153" s="68"/>
      <c r="BD153" s="68"/>
      <c r="BE153" s="68"/>
      <c r="BF153" s="66"/>
      <c r="BG153" s="66"/>
      <c r="BH153" s="66"/>
      <c r="BI153" s="66"/>
      <c r="BJ153" s="66"/>
      <c r="BK153" s="66"/>
      <c r="BL153" s="66"/>
      <c r="BM153" s="66"/>
      <c r="BN153" s="66"/>
      <c r="BO153" s="66"/>
      <c r="BP153" s="66"/>
      <c r="BQ153" s="66"/>
      <c r="BR153" s="66"/>
      <c r="BS153" s="66"/>
      <c r="BT153" s="66"/>
      <c r="BU153" s="66"/>
      <c r="BV153" s="66"/>
      <c r="BW153" s="66"/>
      <c r="BX153" s="66"/>
      <c r="BY153" s="66"/>
      <c r="BZ153" s="66"/>
      <c r="CA153" s="66"/>
      <c r="CB153" s="66"/>
      <c r="CC153" s="66"/>
      <c r="CD153" s="66"/>
      <c r="CE153" s="66"/>
      <c r="CF153" s="68"/>
      <c r="CG153" s="68"/>
      <c r="CH153" s="66"/>
      <c r="CI153" s="66"/>
      <c r="CJ153" s="68"/>
      <c r="CK153" s="68"/>
      <c r="CL153" s="68"/>
      <c r="CM153" s="68"/>
      <c r="CN153" s="66"/>
      <c r="CO153" s="68"/>
      <c r="CP153" s="66"/>
      <c r="CQ153" s="68"/>
      <c r="CR153" s="68"/>
      <c r="CS153" s="68"/>
      <c r="CT153" s="68"/>
      <c r="CU153" s="68"/>
      <c r="CV153" s="68"/>
      <c r="CW153" s="68"/>
      <c r="CX153" s="68"/>
      <c r="CY153" s="68"/>
      <c r="CZ153" s="68"/>
      <c r="DA153" s="68"/>
      <c r="DB153" s="68"/>
      <c r="DC153" s="68"/>
      <c r="DD153" s="68"/>
      <c r="DE153" s="68"/>
      <c r="DF153" s="68"/>
      <c r="DG153" s="68"/>
      <c r="DH153" s="68"/>
      <c r="DI153" s="68"/>
      <c r="DJ153" s="68"/>
      <c r="DK153" s="68"/>
      <c r="DL153" s="68"/>
      <c r="DM153" s="68"/>
      <c r="DN153" s="68"/>
      <c r="DO153" s="68"/>
      <c r="DP153" s="68"/>
      <c r="DQ153" s="68"/>
      <c r="DR153" s="68"/>
      <c r="DS153" s="68"/>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3"/>
      <c r="ES153" s="3"/>
      <c r="EV153" s="350"/>
      <c r="EW153" s="350"/>
      <c r="EX153" s="1"/>
      <c r="EY153" s="1"/>
      <c r="EZ153" s="350"/>
      <c r="FB153" s="1"/>
    </row>
    <row r="154" spans="3:158" ht="20.25" customHeight="1" x14ac:dyDescent="0.25">
      <c r="C154" s="1"/>
      <c r="D154" s="102"/>
      <c r="E154" s="102"/>
      <c r="F154" s="103"/>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113"/>
      <c r="AO154" s="68"/>
      <c r="AP154" s="68"/>
      <c r="AQ154" s="68"/>
      <c r="AR154" s="68"/>
      <c r="AS154" s="68"/>
      <c r="AT154" s="66"/>
      <c r="AU154" s="68"/>
      <c r="AV154" s="68"/>
      <c r="AW154" s="68"/>
      <c r="AX154" s="66"/>
      <c r="AY154" s="68"/>
      <c r="AZ154" s="66"/>
      <c r="BA154" s="68"/>
      <c r="BB154" s="68"/>
      <c r="BC154" s="68"/>
      <c r="BD154" s="68"/>
      <c r="BE154" s="68"/>
      <c r="BF154" s="66"/>
      <c r="BG154" s="66"/>
      <c r="BH154" s="66"/>
      <c r="BI154" s="66"/>
      <c r="BJ154" s="66"/>
      <c r="BK154" s="66"/>
      <c r="BL154" s="66"/>
      <c r="BM154" s="66"/>
      <c r="BN154" s="66"/>
      <c r="BO154" s="66"/>
      <c r="BP154" s="66"/>
      <c r="BQ154" s="66"/>
      <c r="BR154" s="66"/>
      <c r="BS154" s="66"/>
      <c r="BT154" s="66"/>
      <c r="BU154" s="66"/>
      <c r="BV154" s="66"/>
      <c r="BW154" s="66"/>
      <c r="BX154" s="66"/>
      <c r="BY154" s="66"/>
      <c r="BZ154" s="66"/>
      <c r="CA154" s="66"/>
      <c r="CB154" s="66"/>
      <c r="CC154" s="66"/>
      <c r="CD154" s="66"/>
      <c r="CE154" s="66"/>
      <c r="CF154" s="68"/>
      <c r="CG154" s="68"/>
      <c r="CH154" s="66"/>
      <c r="CI154" s="66"/>
      <c r="CJ154" s="68"/>
      <c r="CK154" s="68"/>
      <c r="CL154" s="68"/>
      <c r="CM154" s="68"/>
      <c r="CN154" s="66"/>
      <c r="CO154" s="68"/>
      <c r="CP154" s="66"/>
      <c r="CQ154" s="68"/>
      <c r="CR154" s="68"/>
      <c r="CS154" s="68"/>
      <c r="CT154" s="68"/>
      <c r="CU154" s="68"/>
      <c r="CV154" s="68"/>
      <c r="CW154" s="68"/>
      <c r="CX154" s="68"/>
      <c r="CY154" s="68"/>
      <c r="CZ154" s="68"/>
      <c r="DA154" s="68"/>
      <c r="DB154" s="68"/>
      <c r="DC154" s="68"/>
      <c r="DD154" s="68"/>
      <c r="DE154" s="68"/>
      <c r="DF154" s="68"/>
      <c r="DG154" s="68"/>
      <c r="DH154" s="68"/>
      <c r="DI154" s="68"/>
      <c r="DJ154" s="68"/>
      <c r="DK154" s="68"/>
      <c r="DL154" s="68"/>
      <c r="DM154" s="68"/>
      <c r="DN154" s="68"/>
      <c r="DO154" s="68"/>
      <c r="DP154" s="68"/>
      <c r="DQ154" s="68"/>
      <c r="DR154" s="68"/>
      <c r="DS154" s="68"/>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3"/>
      <c r="ES154" s="3"/>
      <c r="EV154" s="350"/>
      <c r="EW154" s="350"/>
      <c r="EX154" s="1"/>
      <c r="EY154" s="1"/>
      <c r="EZ154" s="350"/>
      <c r="FB154" s="1"/>
    </row>
    <row r="155" spans="3:158" ht="20.25" customHeight="1" x14ac:dyDescent="0.25">
      <c r="C155" s="1"/>
      <c r="D155" s="102"/>
      <c r="E155" s="102"/>
      <c r="F155" s="103"/>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113"/>
      <c r="AO155" s="68"/>
      <c r="AP155" s="68"/>
      <c r="AQ155" s="68"/>
      <c r="AR155" s="68"/>
      <c r="AS155" s="68"/>
      <c r="AT155" s="66"/>
      <c r="AU155" s="68"/>
      <c r="AV155" s="68"/>
      <c r="AW155" s="68"/>
      <c r="AX155" s="66"/>
      <c r="AY155" s="68"/>
      <c r="AZ155" s="66"/>
      <c r="BA155" s="68"/>
      <c r="BB155" s="68"/>
      <c r="BC155" s="68"/>
      <c r="BD155" s="68"/>
      <c r="BE155" s="68"/>
      <c r="BF155" s="66"/>
      <c r="BG155" s="66"/>
      <c r="BH155" s="66"/>
      <c r="BI155" s="66"/>
      <c r="BJ155" s="66"/>
      <c r="BK155" s="66"/>
      <c r="BL155" s="66"/>
      <c r="BM155" s="66"/>
      <c r="BN155" s="66"/>
      <c r="BO155" s="66"/>
      <c r="BP155" s="66"/>
      <c r="BQ155" s="66"/>
      <c r="BR155" s="66"/>
      <c r="BS155" s="66"/>
      <c r="BT155" s="66"/>
      <c r="BU155" s="66"/>
      <c r="BV155" s="66"/>
      <c r="BW155" s="66"/>
      <c r="BX155" s="66"/>
      <c r="BY155" s="66"/>
      <c r="BZ155" s="66"/>
      <c r="CA155" s="66"/>
      <c r="CB155" s="66"/>
      <c r="CC155" s="66"/>
      <c r="CD155" s="66"/>
      <c r="CE155" s="66"/>
      <c r="CF155" s="68"/>
      <c r="CG155" s="68"/>
      <c r="CH155" s="66"/>
      <c r="CI155" s="66"/>
      <c r="CJ155" s="68"/>
      <c r="CK155" s="68"/>
      <c r="CL155" s="68"/>
      <c r="CM155" s="68"/>
      <c r="CN155" s="66"/>
      <c r="CO155" s="68"/>
      <c r="CP155" s="66"/>
      <c r="CQ155" s="68"/>
      <c r="CR155" s="68"/>
      <c r="CS155" s="68"/>
      <c r="CT155" s="68"/>
      <c r="CU155" s="68"/>
      <c r="CV155" s="68"/>
      <c r="CW155" s="68"/>
      <c r="CX155" s="68"/>
      <c r="CY155" s="68"/>
      <c r="CZ155" s="68"/>
      <c r="DA155" s="68"/>
      <c r="DB155" s="68"/>
      <c r="DC155" s="68"/>
      <c r="DD155" s="68"/>
      <c r="DE155" s="68"/>
      <c r="DF155" s="68"/>
      <c r="DG155" s="68"/>
      <c r="DH155" s="68"/>
      <c r="DI155" s="68"/>
      <c r="DJ155" s="68"/>
      <c r="DK155" s="68"/>
      <c r="DL155" s="68"/>
      <c r="DM155" s="68"/>
      <c r="DN155" s="68"/>
      <c r="DO155" s="68"/>
      <c r="DP155" s="68"/>
      <c r="DQ155" s="68"/>
      <c r="DR155" s="68"/>
      <c r="DS155" s="68"/>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3"/>
      <c r="ES155" s="3"/>
      <c r="EV155" s="350"/>
      <c r="EW155" s="350"/>
      <c r="EX155" s="1"/>
      <c r="EY155" s="1"/>
      <c r="EZ155" s="350"/>
      <c r="FB155" s="1"/>
    </row>
    <row r="156" spans="3:158" ht="20.25" customHeight="1" x14ac:dyDescent="0.25">
      <c r="C156" s="1"/>
      <c r="D156" s="102"/>
      <c r="E156" s="102"/>
      <c r="F156" s="103"/>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113"/>
      <c r="AO156" s="68"/>
      <c r="AP156" s="68"/>
      <c r="AQ156" s="68"/>
      <c r="AR156" s="68"/>
      <c r="AS156" s="68"/>
      <c r="AT156" s="66"/>
      <c r="AU156" s="68"/>
      <c r="AV156" s="68"/>
      <c r="AW156" s="68"/>
      <c r="AX156" s="66"/>
      <c r="AY156" s="68"/>
      <c r="AZ156" s="66"/>
      <c r="BA156" s="68"/>
      <c r="BB156" s="68"/>
      <c r="BC156" s="68"/>
      <c r="BD156" s="68"/>
      <c r="BE156" s="68"/>
      <c r="BF156" s="66"/>
      <c r="BG156" s="66"/>
      <c r="BH156" s="66"/>
      <c r="BI156" s="66"/>
      <c r="BJ156" s="66"/>
      <c r="BK156" s="66"/>
      <c r="BL156" s="66"/>
      <c r="BM156" s="66"/>
      <c r="BN156" s="66"/>
      <c r="BO156" s="66"/>
      <c r="BP156" s="66"/>
      <c r="BQ156" s="66"/>
      <c r="BR156" s="66"/>
      <c r="BS156" s="66"/>
      <c r="BT156" s="66"/>
      <c r="BU156" s="66"/>
      <c r="BV156" s="66"/>
      <c r="BW156" s="66"/>
      <c r="BX156" s="66"/>
      <c r="BY156" s="66"/>
      <c r="BZ156" s="66"/>
      <c r="CA156" s="66"/>
      <c r="CB156" s="66"/>
      <c r="CC156" s="66"/>
      <c r="CD156" s="66"/>
      <c r="CE156" s="66"/>
      <c r="CF156" s="68"/>
      <c r="CG156" s="68"/>
      <c r="CH156" s="66"/>
      <c r="CI156" s="66"/>
      <c r="CJ156" s="68"/>
      <c r="CK156" s="68"/>
      <c r="CL156" s="68"/>
      <c r="CM156" s="68"/>
      <c r="CN156" s="66"/>
      <c r="CO156" s="68"/>
      <c r="CP156" s="66"/>
      <c r="CQ156" s="68"/>
      <c r="CR156" s="68"/>
      <c r="CS156" s="68"/>
      <c r="CT156" s="68"/>
      <c r="CU156" s="68"/>
      <c r="CV156" s="68"/>
      <c r="CW156" s="68"/>
      <c r="CX156" s="68"/>
      <c r="CY156" s="68"/>
      <c r="CZ156" s="68"/>
      <c r="DA156" s="68"/>
      <c r="DB156" s="68"/>
      <c r="DC156" s="68"/>
      <c r="DD156" s="68"/>
      <c r="DE156" s="68"/>
      <c r="DF156" s="68"/>
      <c r="DG156" s="68"/>
      <c r="DH156" s="68"/>
      <c r="DI156" s="68"/>
      <c r="DJ156" s="68"/>
      <c r="DK156" s="68"/>
      <c r="DL156" s="68"/>
      <c r="DM156" s="68"/>
      <c r="DN156" s="68"/>
      <c r="DO156" s="68"/>
      <c r="DP156" s="68"/>
      <c r="DQ156" s="68"/>
      <c r="DR156" s="68"/>
      <c r="DS156" s="68"/>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3"/>
      <c r="ES156" s="3"/>
      <c r="EV156" s="350"/>
      <c r="EW156" s="350"/>
      <c r="EX156" s="1"/>
      <c r="EY156" s="1"/>
      <c r="EZ156" s="350"/>
      <c r="FB156" s="1"/>
    </row>
    <row r="157" spans="3:158" ht="20.25" customHeight="1" x14ac:dyDescent="0.25">
      <c r="C157" s="1"/>
      <c r="D157" s="102"/>
      <c r="E157" s="102"/>
      <c r="F157" s="103"/>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113"/>
      <c r="AO157" s="68"/>
      <c r="AP157" s="68"/>
      <c r="AQ157" s="68"/>
      <c r="AR157" s="68"/>
      <c r="AS157" s="68"/>
      <c r="AT157" s="66"/>
      <c r="AU157" s="68"/>
      <c r="AV157" s="68"/>
      <c r="AW157" s="68"/>
      <c r="AX157" s="66"/>
      <c r="AY157" s="68"/>
      <c r="AZ157" s="66"/>
      <c r="BA157" s="68"/>
      <c r="BB157" s="68"/>
      <c r="BC157" s="68"/>
      <c r="BD157" s="68"/>
      <c r="BE157" s="68"/>
      <c r="BF157" s="66"/>
      <c r="BG157" s="66"/>
      <c r="BH157" s="66"/>
      <c r="BI157" s="66"/>
      <c r="BJ157" s="66"/>
      <c r="BK157" s="66"/>
      <c r="BL157" s="66"/>
      <c r="BM157" s="66"/>
      <c r="BN157" s="66"/>
      <c r="BO157" s="66"/>
      <c r="BP157" s="66"/>
      <c r="BQ157" s="66"/>
      <c r="BR157" s="66"/>
      <c r="BS157" s="66"/>
      <c r="BT157" s="66"/>
      <c r="BU157" s="66"/>
      <c r="BV157" s="66"/>
      <c r="BW157" s="66"/>
      <c r="BX157" s="66"/>
      <c r="BY157" s="66"/>
      <c r="BZ157" s="66"/>
      <c r="CA157" s="66"/>
      <c r="CB157" s="66"/>
      <c r="CC157" s="66"/>
      <c r="CD157" s="66"/>
      <c r="CE157" s="66"/>
      <c r="CF157" s="68"/>
      <c r="CG157" s="68"/>
      <c r="CH157" s="66"/>
      <c r="CI157" s="66"/>
      <c r="CJ157" s="68"/>
      <c r="CK157" s="68"/>
      <c r="CL157" s="68"/>
      <c r="CM157" s="68"/>
      <c r="CN157" s="66"/>
      <c r="CO157" s="68"/>
      <c r="CP157" s="66"/>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3"/>
      <c r="ES157" s="3"/>
      <c r="EV157" s="350"/>
      <c r="EW157" s="350"/>
      <c r="EX157" s="1"/>
      <c r="EY157" s="1"/>
      <c r="EZ157" s="350"/>
      <c r="FB157" s="1"/>
    </row>
    <row r="158" spans="3:158" ht="20.25" customHeight="1" x14ac:dyDescent="0.25">
      <c r="C158" s="1"/>
      <c r="D158" s="102"/>
      <c r="E158" s="102"/>
      <c r="F158" s="103"/>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113"/>
      <c r="AO158" s="68"/>
      <c r="AP158" s="68"/>
      <c r="AQ158" s="68"/>
      <c r="AR158" s="68"/>
      <c r="AS158" s="68"/>
      <c r="AT158" s="66"/>
      <c r="AU158" s="68"/>
      <c r="AV158" s="68"/>
      <c r="AW158" s="68"/>
      <c r="AX158" s="66"/>
      <c r="AY158" s="68"/>
      <c r="AZ158" s="66"/>
      <c r="BA158" s="68"/>
      <c r="BB158" s="68"/>
      <c r="BC158" s="68"/>
      <c r="BD158" s="68"/>
      <c r="BE158" s="68"/>
      <c r="BF158" s="66"/>
      <c r="BG158" s="66"/>
      <c r="BH158" s="66"/>
      <c r="BI158" s="66"/>
      <c r="BJ158" s="66"/>
      <c r="BK158" s="66"/>
      <c r="BL158" s="66"/>
      <c r="BM158" s="66"/>
      <c r="BN158" s="66"/>
      <c r="BO158" s="66"/>
      <c r="BP158" s="66"/>
      <c r="BQ158" s="66"/>
      <c r="BR158" s="66"/>
      <c r="BS158" s="66"/>
      <c r="BT158" s="66"/>
      <c r="BU158" s="66"/>
      <c r="BV158" s="66"/>
      <c r="BW158" s="66"/>
      <c r="BX158" s="66"/>
      <c r="BY158" s="66"/>
      <c r="BZ158" s="66"/>
      <c r="CA158" s="66"/>
      <c r="CB158" s="66"/>
      <c r="CC158" s="66"/>
      <c r="CD158" s="66"/>
      <c r="CE158" s="66"/>
      <c r="CF158" s="68"/>
      <c r="CG158" s="68"/>
      <c r="CH158" s="66"/>
      <c r="CI158" s="66"/>
      <c r="CJ158" s="68"/>
      <c r="CK158" s="68"/>
      <c r="CL158" s="68"/>
      <c r="CM158" s="68"/>
      <c r="CN158" s="66"/>
      <c r="CO158" s="68"/>
      <c r="CP158" s="66"/>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3"/>
      <c r="ES158" s="3"/>
      <c r="EV158" s="350"/>
      <c r="EW158" s="350"/>
      <c r="EX158" s="1"/>
      <c r="EY158" s="1"/>
      <c r="EZ158" s="350"/>
      <c r="FB158" s="1"/>
    </row>
    <row r="159" spans="3:158" ht="20.25" customHeight="1" x14ac:dyDescent="0.25">
      <c r="C159" s="1"/>
      <c r="D159" s="102"/>
      <c r="E159" s="102"/>
      <c r="F159" s="103"/>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113"/>
      <c r="AO159" s="68"/>
      <c r="AP159" s="68"/>
      <c r="AQ159" s="68"/>
      <c r="AR159" s="68"/>
      <c r="AS159" s="68"/>
      <c r="AT159" s="66"/>
      <c r="AU159" s="68"/>
      <c r="AV159" s="68"/>
      <c r="AW159" s="68"/>
      <c r="AX159" s="66"/>
      <c r="AY159" s="68"/>
      <c r="AZ159" s="66"/>
      <c r="BA159" s="68"/>
      <c r="BB159" s="68"/>
      <c r="BC159" s="68"/>
      <c r="BD159" s="68"/>
      <c r="BE159" s="68"/>
      <c r="BF159" s="66"/>
      <c r="BG159" s="66"/>
      <c r="BH159" s="66"/>
      <c r="BI159" s="66"/>
      <c r="BJ159" s="66"/>
      <c r="BK159" s="66"/>
      <c r="BL159" s="66"/>
      <c r="BM159" s="66"/>
      <c r="BN159" s="66"/>
      <c r="BO159" s="66"/>
      <c r="BP159" s="66"/>
      <c r="BQ159" s="66"/>
      <c r="BR159" s="66"/>
      <c r="BS159" s="66"/>
      <c r="BT159" s="66"/>
      <c r="BU159" s="66"/>
      <c r="BV159" s="66"/>
      <c r="BW159" s="66"/>
      <c r="BX159" s="66"/>
      <c r="BY159" s="66"/>
      <c r="BZ159" s="66"/>
      <c r="CA159" s="66"/>
      <c r="CB159" s="66"/>
      <c r="CC159" s="66"/>
      <c r="CD159" s="66"/>
      <c r="CE159" s="66"/>
      <c r="CF159" s="68"/>
      <c r="CG159" s="68"/>
      <c r="CH159" s="66"/>
      <c r="CI159" s="66"/>
      <c r="CJ159" s="68"/>
      <c r="CK159" s="68"/>
      <c r="CL159" s="68"/>
      <c r="CM159" s="68"/>
      <c r="CN159" s="66"/>
      <c r="CO159" s="68"/>
      <c r="CP159" s="66"/>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3"/>
      <c r="ES159" s="3"/>
      <c r="EV159" s="350"/>
      <c r="EW159" s="350"/>
      <c r="EX159" s="1"/>
      <c r="EY159" s="1"/>
      <c r="EZ159" s="350"/>
      <c r="FB159" s="1"/>
    </row>
    <row r="160" spans="3:158" ht="20.25" customHeight="1" x14ac:dyDescent="0.25">
      <c r="C160" s="1"/>
      <c r="D160" s="102"/>
      <c r="E160" s="102"/>
      <c r="F160" s="103"/>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113"/>
      <c r="AO160" s="68"/>
      <c r="AP160" s="68"/>
      <c r="AQ160" s="68"/>
      <c r="AR160" s="68"/>
      <c r="AS160" s="68"/>
      <c r="AT160" s="66"/>
      <c r="AU160" s="68"/>
      <c r="AV160" s="68"/>
      <c r="AW160" s="68"/>
      <c r="AX160" s="66"/>
      <c r="AY160" s="68"/>
      <c r="AZ160" s="66"/>
      <c r="BA160" s="68"/>
      <c r="BB160" s="68"/>
      <c r="BC160" s="68"/>
      <c r="BD160" s="68"/>
      <c r="BE160" s="68"/>
      <c r="BF160" s="66"/>
      <c r="BG160" s="66"/>
      <c r="BH160" s="66"/>
      <c r="BI160" s="66"/>
      <c r="BJ160" s="66"/>
      <c r="BK160" s="66"/>
      <c r="BL160" s="66"/>
      <c r="BM160" s="66"/>
      <c r="BN160" s="66"/>
      <c r="BO160" s="66"/>
      <c r="BP160" s="66"/>
      <c r="BQ160" s="66"/>
      <c r="BR160" s="66"/>
      <c r="BS160" s="66"/>
      <c r="BT160" s="66"/>
      <c r="BU160" s="66"/>
      <c r="BV160" s="66"/>
      <c r="BW160" s="66"/>
      <c r="BX160" s="66"/>
      <c r="BY160" s="66"/>
      <c r="BZ160" s="66"/>
      <c r="CA160" s="66"/>
      <c r="CB160" s="66"/>
      <c r="CC160" s="66"/>
      <c r="CD160" s="66"/>
      <c r="CE160" s="66"/>
      <c r="CF160" s="68"/>
      <c r="CG160" s="68"/>
      <c r="CH160" s="66"/>
      <c r="CI160" s="66"/>
      <c r="CJ160" s="68"/>
      <c r="CK160" s="68"/>
      <c r="CL160" s="68"/>
      <c r="CM160" s="68"/>
      <c r="CN160" s="66"/>
      <c r="CO160" s="68"/>
      <c r="CP160" s="66"/>
      <c r="CQ160" s="68"/>
      <c r="CR160" s="68"/>
      <c r="CS160" s="68"/>
      <c r="CT160" s="68"/>
      <c r="CU160" s="68"/>
      <c r="CV160" s="68"/>
      <c r="CW160" s="68"/>
      <c r="CX160" s="68"/>
      <c r="CY160" s="68"/>
      <c r="CZ160" s="68"/>
      <c r="DA160" s="68"/>
      <c r="DB160" s="68"/>
      <c r="DC160" s="68"/>
      <c r="DD160" s="68"/>
      <c r="DE160" s="68"/>
      <c r="DF160" s="68"/>
      <c r="DG160" s="68"/>
      <c r="DH160" s="68"/>
      <c r="DI160" s="68"/>
      <c r="DJ160" s="68"/>
      <c r="DK160" s="68"/>
      <c r="DL160" s="68"/>
      <c r="DM160" s="68"/>
      <c r="DN160" s="68"/>
      <c r="DO160" s="68"/>
      <c r="DP160" s="68"/>
      <c r="DQ160" s="68"/>
      <c r="DR160" s="68"/>
      <c r="DS160" s="68"/>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3"/>
      <c r="ES160" s="3"/>
      <c r="EV160" s="350"/>
      <c r="EW160" s="350"/>
      <c r="EX160" s="1"/>
      <c r="EY160" s="1"/>
      <c r="EZ160" s="350"/>
      <c r="FB160" s="1"/>
    </row>
    <row r="161" spans="3:158" ht="20.25" customHeight="1" x14ac:dyDescent="0.25">
      <c r="C161" s="1"/>
      <c r="D161" s="102"/>
      <c r="E161" s="102"/>
      <c r="F161" s="103"/>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113"/>
      <c r="AO161" s="68"/>
      <c r="AP161" s="68"/>
      <c r="AQ161" s="68"/>
      <c r="AR161" s="68"/>
      <c r="AS161" s="68"/>
      <c r="AT161" s="66"/>
      <c r="AU161" s="68"/>
      <c r="AV161" s="68"/>
      <c r="AW161" s="68"/>
      <c r="AX161" s="66"/>
      <c r="AY161" s="68"/>
      <c r="AZ161" s="66"/>
      <c r="BA161" s="68"/>
      <c r="BB161" s="68"/>
      <c r="BC161" s="68"/>
      <c r="BD161" s="68"/>
      <c r="BE161" s="68"/>
      <c r="BF161" s="66"/>
      <c r="BG161" s="66"/>
      <c r="BH161" s="66"/>
      <c r="BI161" s="66"/>
      <c r="BJ161" s="66"/>
      <c r="BK161" s="66"/>
      <c r="BL161" s="66"/>
      <c r="BM161" s="66"/>
      <c r="BN161" s="66"/>
      <c r="BO161" s="66"/>
      <c r="BP161" s="66"/>
      <c r="BQ161" s="66"/>
      <c r="BR161" s="66"/>
      <c r="BS161" s="66"/>
      <c r="BT161" s="66"/>
      <c r="BU161" s="66"/>
      <c r="BV161" s="66"/>
      <c r="BW161" s="66"/>
      <c r="BX161" s="66"/>
      <c r="BY161" s="66"/>
      <c r="BZ161" s="66"/>
      <c r="CA161" s="66"/>
      <c r="CB161" s="66"/>
      <c r="CC161" s="66"/>
      <c r="CD161" s="66"/>
      <c r="CE161" s="66"/>
      <c r="CF161" s="68"/>
      <c r="CG161" s="68"/>
      <c r="CH161" s="66"/>
      <c r="CI161" s="66"/>
      <c r="CJ161" s="68"/>
      <c r="CK161" s="68"/>
      <c r="CL161" s="68"/>
      <c r="CM161" s="68"/>
      <c r="CN161" s="66"/>
      <c r="CO161" s="68"/>
      <c r="CP161" s="66"/>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3"/>
      <c r="ES161" s="3"/>
      <c r="EV161" s="350"/>
      <c r="EW161" s="350"/>
      <c r="EX161" s="1"/>
      <c r="EY161" s="1"/>
      <c r="EZ161" s="350"/>
      <c r="FB161" s="1"/>
    </row>
    <row r="162" spans="3:158" ht="20.25" customHeight="1" x14ac:dyDescent="0.25">
      <c r="C162" s="1"/>
      <c r="D162" s="102"/>
      <c r="E162" s="102"/>
      <c r="F162" s="103"/>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113"/>
      <c r="AO162" s="68"/>
      <c r="AP162" s="68"/>
      <c r="AQ162" s="68"/>
      <c r="AR162" s="68"/>
      <c r="AS162" s="68"/>
      <c r="AT162" s="66"/>
      <c r="AU162" s="68"/>
      <c r="AV162" s="68"/>
      <c r="AW162" s="68"/>
      <c r="AX162" s="66"/>
      <c r="AY162" s="68"/>
      <c r="AZ162" s="66"/>
      <c r="BA162" s="68"/>
      <c r="BB162" s="68"/>
      <c r="BC162" s="68"/>
      <c r="BD162" s="68"/>
      <c r="BE162" s="68"/>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8"/>
      <c r="CG162" s="68"/>
      <c r="CH162" s="66"/>
      <c r="CI162" s="66"/>
      <c r="CJ162" s="68"/>
      <c r="CK162" s="68"/>
      <c r="CL162" s="68"/>
      <c r="CM162" s="68"/>
      <c r="CN162" s="66"/>
      <c r="CO162" s="68"/>
      <c r="CP162" s="66"/>
      <c r="CQ162" s="68"/>
      <c r="CR162" s="68"/>
      <c r="CS162" s="68"/>
      <c r="CT162" s="68"/>
      <c r="CU162" s="68"/>
      <c r="CV162" s="68"/>
      <c r="CW162" s="68"/>
      <c r="CX162" s="68"/>
      <c r="CY162" s="68"/>
      <c r="CZ162" s="68"/>
      <c r="DA162" s="68"/>
      <c r="DB162" s="68"/>
      <c r="DC162" s="68"/>
      <c r="DD162" s="68"/>
      <c r="DE162" s="68"/>
      <c r="DF162" s="68"/>
      <c r="DG162" s="68"/>
      <c r="DH162" s="68"/>
      <c r="DI162" s="68"/>
      <c r="DJ162" s="68"/>
      <c r="DK162" s="68"/>
      <c r="DL162" s="68"/>
      <c r="DM162" s="68"/>
      <c r="DN162" s="68"/>
      <c r="DO162" s="68"/>
      <c r="DP162" s="68"/>
      <c r="DQ162" s="68"/>
      <c r="DR162" s="68"/>
      <c r="DS162" s="68"/>
      <c r="DT162" s="68"/>
      <c r="DU162" s="68"/>
      <c r="DV162" s="68"/>
      <c r="DW162" s="68"/>
      <c r="DX162" s="68"/>
      <c r="DY162" s="68"/>
      <c r="DZ162" s="68"/>
      <c r="EA162" s="68"/>
      <c r="EB162" s="68"/>
      <c r="EC162" s="68"/>
      <c r="ED162" s="68"/>
      <c r="EE162" s="68"/>
      <c r="EF162" s="68"/>
      <c r="EG162" s="68"/>
      <c r="EH162" s="68"/>
      <c r="EI162" s="68"/>
      <c r="EJ162" s="68"/>
      <c r="EK162" s="68"/>
      <c r="EL162" s="68"/>
      <c r="EM162" s="68"/>
      <c r="EN162" s="68"/>
      <c r="EO162" s="68"/>
      <c r="EP162" s="68"/>
      <c r="EQ162" s="68"/>
      <c r="ER162" s="3"/>
      <c r="ES162" s="3"/>
      <c r="EV162" s="350"/>
      <c r="EW162" s="350"/>
      <c r="EX162" s="1"/>
      <c r="EY162" s="1"/>
      <c r="EZ162" s="350"/>
      <c r="FB162" s="1"/>
    </row>
    <row r="163" spans="3:158" ht="20.25" customHeight="1" x14ac:dyDescent="0.25">
      <c r="C163" s="1"/>
      <c r="D163" s="102"/>
      <c r="E163" s="102"/>
      <c r="F163" s="103"/>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113"/>
      <c r="AO163" s="68"/>
      <c r="AP163" s="68"/>
      <c r="AQ163" s="68"/>
      <c r="AR163" s="68"/>
      <c r="AS163" s="68"/>
      <c r="AT163" s="66"/>
      <c r="AU163" s="68"/>
      <c r="AV163" s="68"/>
      <c r="AW163" s="68"/>
      <c r="AX163" s="66"/>
      <c r="AY163" s="68"/>
      <c r="AZ163" s="66"/>
      <c r="BA163" s="68"/>
      <c r="BB163" s="68"/>
      <c r="BC163" s="68"/>
      <c r="BD163" s="68"/>
      <c r="BE163" s="68"/>
      <c r="BF163" s="66"/>
      <c r="BG163" s="66"/>
      <c r="BH163" s="66"/>
      <c r="BI163" s="66"/>
      <c r="BJ163" s="66"/>
      <c r="BK163" s="66"/>
      <c r="BL163" s="66"/>
      <c r="BM163" s="66"/>
      <c r="BN163" s="66"/>
      <c r="BO163" s="66"/>
      <c r="BP163" s="66"/>
      <c r="BQ163" s="66"/>
      <c r="BR163" s="66"/>
      <c r="BS163" s="66"/>
      <c r="BT163" s="66"/>
      <c r="BU163" s="66"/>
      <c r="BV163" s="66"/>
      <c r="BW163" s="66"/>
      <c r="BX163" s="66"/>
      <c r="BY163" s="66"/>
      <c r="BZ163" s="66"/>
      <c r="CA163" s="66"/>
      <c r="CB163" s="66"/>
      <c r="CC163" s="66"/>
      <c r="CD163" s="66"/>
      <c r="CE163" s="66"/>
      <c r="CF163" s="68"/>
      <c r="CG163" s="68"/>
      <c r="CH163" s="66"/>
      <c r="CI163" s="66"/>
      <c r="CJ163" s="68"/>
      <c r="CK163" s="68"/>
      <c r="CL163" s="68"/>
      <c r="CM163" s="68"/>
      <c r="CN163" s="66"/>
      <c r="CO163" s="68"/>
      <c r="CP163" s="66"/>
      <c r="CQ163" s="68"/>
      <c r="CR163" s="68"/>
      <c r="CS163" s="68"/>
      <c r="CT163" s="68"/>
      <c r="CU163" s="68"/>
      <c r="CV163" s="68"/>
      <c r="CW163" s="68"/>
      <c r="CX163" s="68"/>
      <c r="CY163" s="68"/>
      <c r="CZ163" s="68"/>
      <c r="DA163" s="68"/>
      <c r="DB163" s="68"/>
      <c r="DC163" s="68"/>
      <c r="DD163" s="68"/>
      <c r="DE163" s="68"/>
      <c r="DF163" s="68"/>
      <c r="DG163" s="68"/>
      <c r="DH163" s="68"/>
      <c r="DI163" s="68"/>
      <c r="DJ163" s="68"/>
      <c r="DK163" s="68"/>
      <c r="DL163" s="68"/>
      <c r="DM163" s="68"/>
      <c r="DN163" s="68"/>
      <c r="DO163" s="68"/>
      <c r="DP163" s="68"/>
      <c r="DQ163" s="68"/>
      <c r="DR163" s="68"/>
      <c r="DS163" s="68"/>
      <c r="DT163" s="68"/>
      <c r="DU163" s="68"/>
      <c r="DV163" s="68"/>
      <c r="DW163" s="68"/>
      <c r="DX163" s="68"/>
      <c r="DY163" s="68"/>
      <c r="DZ163" s="68"/>
      <c r="EA163" s="68"/>
      <c r="EB163" s="68"/>
      <c r="EC163" s="68"/>
      <c r="ED163" s="68"/>
      <c r="EE163" s="68"/>
      <c r="EF163" s="68"/>
      <c r="EG163" s="68"/>
      <c r="EH163" s="68"/>
      <c r="EI163" s="68"/>
      <c r="EJ163" s="68"/>
      <c r="EK163" s="68"/>
      <c r="EL163" s="68"/>
      <c r="EM163" s="68"/>
      <c r="EN163" s="68"/>
      <c r="EO163" s="68"/>
      <c r="EP163" s="68"/>
      <c r="EQ163" s="68"/>
      <c r="ER163" s="3"/>
      <c r="ES163" s="3"/>
      <c r="EV163" s="350"/>
      <c r="EW163" s="350"/>
      <c r="EX163" s="1"/>
      <c r="EY163" s="1"/>
      <c r="EZ163" s="350"/>
      <c r="FB163" s="1"/>
    </row>
    <row r="164" spans="3:158" ht="20.25" customHeight="1" x14ac:dyDescent="0.25">
      <c r="C164" s="1"/>
      <c r="D164" s="102"/>
      <c r="E164" s="102"/>
      <c r="F164" s="103"/>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113"/>
      <c r="AO164" s="68"/>
      <c r="AP164" s="68"/>
      <c r="AQ164" s="68"/>
      <c r="AR164" s="68"/>
      <c r="AS164" s="68"/>
      <c r="AT164" s="66"/>
      <c r="AU164" s="68"/>
      <c r="AV164" s="68"/>
      <c r="AW164" s="68"/>
      <c r="AX164" s="66"/>
      <c r="AY164" s="68"/>
      <c r="AZ164" s="66"/>
      <c r="BA164" s="68"/>
      <c r="BB164" s="68"/>
      <c r="BC164" s="68"/>
      <c r="BD164" s="68"/>
      <c r="BE164" s="68"/>
      <c r="BF164" s="66"/>
      <c r="BG164" s="66"/>
      <c r="BH164" s="66"/>
      <c r="BI164" s="66"/>
      <c r="BJ164" s="66"/>
      <c r="BK164" s="66"/>
      <c r="BL164" s="66"/>
      <c r="BM164" s="66"/>
      <c r="BN164" s="66"/>
      <c r="BO164" s="66"/>
      <c r="BP164" s="66"/>
      <c r="BQ164" s="66"/>
      <c r="BR164" s="66"/>
      <c r="BS164" s="66"/>
      <c r="BT164" s="66"/>
      <c r="BU164" s="66"/>
      <c r="BV164" s="66"/>
      <c r="BW164" s="66"/>
      <c r="BX164" s="66"/>
      <c r="BY164" s="66"/>
      <c r="BZ164" s="66"/>
      <c r="CA164" s="66"/>
      <c r="CB164" s="66"/>
      <c r="CC164" s="66"/>
      <c r="CD164" s="66"/>
      <c r="CE164" s="66"/>
      <c r="CF164" s="68"/>
      <c r="CG164" s="68"/>
      <c r="CH164" s="66"/>
      <c r="CI164" s="66"/>
      <c r="CJ164" s="68"/>
      <c r="CK164" s="68"/>
      <c r="CL164" s="68"/>
      <c r="CM164" s="68"/>
      <c r="CN164" s="66"/>
      <c r="CO164" s="68"/>
      <c r="CP164" s="66"/>
      <c r="CQ164" s="68"/>
      <c r="CR164" s="68"/>
      <c r="CS164" s="68"/>
      <c r="CT164" s="68"/>
      <c r="CU164" s="68"/>
      <c r="CV164" s="68"/>
      <c r="CW164" s="68"/>
      <c r="CX164" s="68"/>
      <c r="CY164" s="68"/>
      <c r="CZ164" s="68"/>
      <c r="DA164" s="68"/>
      <c r="DB164" s="68"/>
      <c r="DC164" s="68"/>
      <c r="DD164" s="68"/>
      <c r="DE164" s="68"/>
      <c r="DF164" s="68"/>
      <c r="DG164" s="68"/>
      <c r="DH164" s="68"/>
      <c r="DI164" s="68"/>
      <c r="DJ164" s="68"/>
      <c r="DK164" s="68"/>
      <c r="DL164" s="68"/>
      <c r="DM164" s="68"/>
      <c r="DN164" s="68"/>
      <c r="DO164" s="68"/>
      <c r="DP164" s="68"/>
      <c r="DQ164" s="68"/>
      <c r="DR164" s="68"/>
      <c r="DS164" s="68"/>
      <c r="DT164" s="68"/>
      <c r="DU164" s="68"/>
      <c r="DV164" s="68"/>
      <c r="DW164" s="68"/>
      <c r="DX164" s="68"/>
      <c r="DY164" s="68"/>
      <c r="DZ164" s="68"/>
      <c r="EA164" s="68"/>
      <c r="EB164" s="68"/>
      <c r="EC164" s="68"/>
      <c r="ED164" s="68"/>
      <c r="EE164" s="68"/>
      <c r="EF164" s="68"/>
      <c r="EG164" s="68"/>
      <c r="EH164" s="68"/>
      <c r="EI164" s="68"/>
      <c r="EJ164" s="68"/>
      <c r="EK164" s="68"/>
      <c r="EL164" s="68"/>
      <c r="EM164" s="68"/>
      <c r="EN164" s="68"/>
      <c r="EO164" s="68"/>
      <c r="EP164" s="68"/>
      <c r="EQ164" s="68"/>
      <c r="ER164" s="3"/>
      <c r="ES164" s="3"/>
      <c r="EV164" s="350"/>
      <c r="EW164" s="350"/>
      <c r="EX164" s="1"/>
      <c r="EY164" s="1"/>
      <c r="EZ164" s="350"/>
      <c r="FB164" s="1"/>
    </row>
    <row r="165" spans="3:158" ht="20.25" customHeight="1" x14ac:dyDescent="0.25">
      <c r="C165" s="1"/>
      <c r="D165" s="102"/>
      <c r="E165" s="102"/>
      <c r="F165" s="103"/>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113"/>
      <c r="AO165" s="68"/>
      <c r="AP165" s="68"/>
      <c r="AQ165" s="68"/>
      <c r="AR165" s="68"/>
      <c r="AS165" s="68"/>
      <c r="AT165" s="66"/>
      <c r="AU165" s="68"/>
      <c r="AV165" s="68"/>
      <c r="AW165" s="68"/>
      <c r="AX165" s="66"/>
      <c r="AY165" s="68"/>
      <c r="AZ165" s="66"/>
      <c r="BA165" s="68"/>
      <c r="BB165" s="68"/>
      <c r="BC165" s="68"/>
      <c r="BD165" s="68"/>
      <c r="BE165" s="68"/>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8"/>
      <c r="CG165" s="68"/>
      <c r="CH165" s="66"/>
      <c r="CI165" s="66"/>
      <c r="CJ165" s="68"/>
      <c r="CK165" s="68"/>
      <c r="CL165" s="68"/>
      <c r="CM165" s="68"/>
      <c r="CN165" s="66"/>
      <c r="CO165" s="68"/>
      <c r="CP165" s="66"/>
      <c r="CQ165" s="68"/>
      <c r="CR165" s="68"/>
      <c r="CS165" s="68"/>
      <c r="CT165" s="68"/>
      <c r="CU165" s="68"/>
      <c r="CV165" s="68"/>
      <c r="CW165" s="68"/>
      <c r="CX165" s="68"/>
      <c r="CY165" s="68"/>
      <c r="CZ165" s="68"/>
      <c r="DA165" s="68"/>
      <c r="DB165" s="68"/>
      <c r="DC165" s="68"/>
      <c r="DD165" s="68"/>
      <c r="DE165" s="68"/>
      <c r="DF165" s="68"/>
      <c r="DG165" s="68"/>
      <c r="DH165" s="68"/>
      <c r="DI165" s="68"/>
      <c r="DJ165" s="68"/>
      <c r="DK165" s="68"/>
      <c r="DL165" s="68"/>
      <c r="DM165" s="68"/>
      <c r="DN165" s="68"/>
      <c r="DO165" s="68"/>
      <c r="DP165" s="68"/>
      <c r="DQ165" s="68"/>
      <c r="DR165" s="68"/>
      <c r="DS165" s="68"/>
      <c r="DT165" s="68"/>
      <c r="DU165" s="68"/>
      <c r="DV165" s="68"/>
      <c r="DW165" s="68"/>
      <c r="DX165" s="68"/>
      <c r="DY165" s="68"/>
      <c r="DZ165" s="68"/>
      <c r="EA165" s="68"/>
      <c r="EB165" s="68"/>
      <c r="EC165" s="68"/>
      <c r="ED165" s="68"/>
      <c r="EE165" s="68"/>
      <c r="EF165" s="68"/>
      <c r="EG165" s="68"/>
      <c r="EH165" s="68"/>
      <c r="EI165" s="68"/>
      <c r="EJ165" s="68"/>
      <c r="EK165" s="68"/>
      <c r="EL165" s="68"/>
      <c r="EM165" s="68"/>
      <c r="EN165" s="68"/>
      <c r="EO165" s="68"/>
      <c r="EP165" s="68"/>
      <c r="EQ165" s="68"/>
      <c r="ER165" s="3"/>
      <c r="ES165" s="3"/>
      <c r="EV165" s="350"/>
      <c r="EW165" s="350"/>
      <c r="EX165" s="1"/>
      <c r="EY165" s="1"/>
      <c r="EZ165" s="350"/>
      <c r="FB165" s="1"/>
    </row>
    <row r="166" spans="3:158" ht="20.25" customHeight="1" x14ac:dyDescent="0.25">
      <c r="C166" s="1"/>
      <c r="D166" s="102"/>
      <c r="E166" s="102"/>
      <c r="F166" s="103"/>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113"/>
      <c r="AO166" s="68"/>
      <c r="AP166" s="68"/>
      <c r="AQ166" s="68"/>
      <c r="AR166" s="68"/>
      <c r="AS166" s="68"/>
      <c r="AT166" s="66"/>
      <c r="AU166" s="68"/>
      <c r="AV166" s="68"/>
      <c r="AW166" s="68"/>
      <c r="AX166" s="66"/>
      <c r="AY166" s="68"/>
      <c r="AZ166" s="66"/>
      <c r="BA166" s="68"/>
      <c r="BB166" s="68"/>
      <c r="BC166" s="68"/>
      <c r="BD166" s="68"/>
      <c r="BE166" s="68"/>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8"/>
      <c r="CG166" s="68"/>
      <c r="CH166" s="66"/>
      <c r="CI166" s="66"/>
      <c r="CJ166" s="68"/>
      <c r="CK166" s="68"/>
      <c r="CL166" s="68"/>
      <c r="CM166" s="68"/>
      <c r="CN166" s="66"/>
      <c r="CO166" s="68"/>
      <c r="CP166" s="66"/>
      <c r="CQ166" s="68"/>
      <c r="CR166" s="68"/>
      <c r="CS166" s="68"/>
      <c r="CT166" s="68"/>
      <c r="CU166" s="68"/>
      <c r="CV166" s="68"/>
      <c r="CW166" s="68"/>
      <c r="CX166" s="68"/>
      <c r="CY166" s="68"/>
      <c r="CZ166" s="68"/>
      <c r="DA166" s="68"/>
      <c r="DB166" s="68"/>
      <c r="DC166" s="68"/>
      <c r="DD166" s="68"/>
      <c r="DE166" s="68"/>
      <c r="DF166" s="68"/>
      <c r="DG166" s="68"/>
      <c r="DH166" s="68"/>
      <c r="DI166" s="68"/>
      <c r="DJ166" s="68"/>
      <c r="DK166" s="68"/>
      <c r="DL166" s="68"/>
      <c r="DM166" s="68"/>
      <c r="DN166" s="68"/>
      <c r="DO166" s="68"/>
      <c r="DP166" s="68"/>
      <c r="DQ166" s="68"/>
      <c r="DR166" s="68"/>
      <c r="DS166" s="68"/>
      <c r="DT166" s="68"/>
      <c r="DU166" s="68"/>
      <c r="DV166" s="68"/>
      <c r="DW166" s="68"/>
      <c r="DX166" s="68"/>
      <c r="DY166" s="68"/>
      <c r="DZ166" s="68"/>
      <c r="EA166" s="68"/>
      <c r="EB166" s="68"/>
      <c r="EC166" s="68"/>
      <c r="ED166" s="68"/>
      <c r="EE166" s="68"/>
      <c r="EF166" s="68"/>
      <c r="EG166" s="68"/>
      <c r="EH166" s="68"/>
      <c r="EI166" s="68"/>
      <c r="EJ166" s="68"/>
      <c r="EK166" s="68"/>
      <c r="EL166" s="68"/>
      <c r="EM166" s="68"/>
      <c r="EN166" s="68"/>
      <c r="EO166" s="68"/>
      <c r="EP166" s="68"/>
      <c r="EQ166" s="68"/>
      <c r="ER166" s="3"/>
      <c r="ES166" s="3"/>
      <c r="EV166" s="350"/>
      <c r="EW166" s="350"/>
      <c r="EX166" s="1"/>
      <c r="EY166" s="1"/>
      <c r="EZ166" s="350"/>
      <c r="FB166" s="1"/>
    </row>
    <row r="167" spans="3:158" ht="20.25" customHeight="1" x14ac:dyDescent="0.25">
      <c r="C167" s="1"/>
      <c r="D167" s="102"/>
      <c r="E167" s="102"/>
      <c r="F167" s="103"/>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113"/>
      <c r="AO167" s="68"/>
      <c r="AP167" s="68"/>
      <c r="AQ167" s="68"/>
      <c r="AR167" s="68"/>
      <c r="AS167" s="68"/>
      <c r="AT167" s="66"/>
      <c r="AU167" s="68"/>
      <c r="AV167" s="68"/>
      <c r="AW167" s="68"/>
      <c r="AX167" s="66"/>
      <c r="AY167" s="68"/>
      <c r="AZ167" s="66"/>
      <c r="BA167" s="68"/>
      <c r="BB167" s="68"/>
      <c r="BC167" s="68"/>
      <c r="BD167" s="68"/>
      <c r="BE167" s="68"/>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8"/>
      <c r="CG167" s="68"/>
      <c r="CH167" s="66"/>
      <c r="CI167" s="66"/>
      <c r="CJ167" s="68"/>
      <c r="CK167" s="68"/>
      <c r="CL167" s="68"/>
      <c r="CM167" s="68"/>
      <c r="CN167" s="66"/>
      <c r="CO167" s="68"/>
      <c r="CP167" s="66"/>
      <c r="CQ167" s="68"/>
      <c r="CR167" s="68"/>
      <c r="CS167" s="68"/>
      <c r="CT167" s="68"/>
      <c r="CU167" s="68"/>
      <c r="CV167" s="68"/>
      <c r="CW167" s="68"/>
      <c r="CX167" s="68"/>
      <c r="CY167" s="68"/>
      <c r="CZ167" s="68"/>
      <c r="DA167" s="68"/>
      <c r="DB167" s="68"/>
      <c r="DC167" s="68"/>
      <c r="DD167" s="68"/>
      <c r="DE167" s="68"/>
      <c r="DF167" s="68"/>
      <c r="DG167" s="68"/>
      <c r="DH167" s="68"/>
      <c r="DI167" s="68"/>
      <c r="DJ167" s="68"/>
      <c r="DK167" s="68"/>
      <c r="DL167" s="68"/>
      <c r="DM167" s="68"/>
      <c r="DN167" s="68"/>
      <c r="DO167" s="68"/>
      <c r="DP167" s="68"/>
      <c r="DQ167" s="68"/>
      <c r="DR167" s="68"/>
      <c r="DS167" s="68"/>
      <c r="DT167" s="68"/>
      <c r="DU167" s="68"/>
      <c r="DV167" s="68"/>
      <c r="DW167" s="68"/>
      <c r="DX167" s="68"/>
      <c r="DY167" s="68"/>
      <c r="DZ167" s="68"/>
      <c r="EA167" s="68"/>
      <c r="EB167" s="68"/>
      <c r="EC167" s="68"/>
      <c r="ED167" s="68"/>
      <c r="EE167" s="68"/>
      <c r="EF167" s="68"/>
      <c r="EG167" s="68"/>
      <c r="EH167" s="68"/>
      <c r="EI167" s="68"/>
      <c r="EJ167" s="68"/>
      <c r="EK167" s="68"/>
      <c r="EL167" s="68"/>
      <c r="EM167" s="68"/>
      <c r="EN167" s="68"/>
      <c r="EO167" s="68"/>
      <c r="EP167" s="68"/>
      <c r="EQ167" s="68"/>
      <c r="ER167" s="3"/>
      <c r="ES167" s="3"/>
      <c r="EV167" s="350"/>
      <c r="EW167" s="350"/>
      <c r="EX167" s="1"/>
      <c r="EY167" s="1"/>
      <c r="EZ167" s="350"/>
      <c r="FB167" s="1"/>
    </row>
    <row r="168" spans="3:158" ht="20.25" customHeight="1" x14ac:dyDescent="0.25">
      <c r="C168" s="1"/>
      <c r="D168" s="102"/>
      <c r="E168" s="102"/>
      <c r="F168" s="103"/>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113"/>
      <c r="AO168" s="68"/>
      <c r="AP168" s="68"/>
      <c r="AQ168" s="68"/>
      <c r="AR168" s="68"/>
      <c r="AS168" s="68"/>
      <c r="AT168" s="66"/>
      <c r="AU168" s="68"/>
      <c r="AV168" s="68"/>
      <c r="AW168" s="68"/>
      <c r="AX168" s="66"/>
      <c r="AY168" s="68"/>
      <c r="AZ168" s="66"/>
      <c r="BA168" s="68"/>
      <c r="BB168" s="68"/>
      <c r="BC168" s="68"/>
      <c r="BD168" s="68"/>
      <c r="BE168" s="68"/>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8"/>
      <c r="CG168" s="68"/>
      <c r="CH168" s="66"/>
      <c r="CI168" s="66"/>
      <c r="CJ168" s="68"/>
      <c r="CK168" s="68"/>
      <c r="CL168" s="68"/>
      <c r="CM168" s="68"/>
      <c r="CN168" s="66"/>
      <c r="CO168" s="68"/>
      <c r="CP168" s="66"/>
      <c r="CQ168" s="68"/>
      <c r="CR168" s="68"/>
      <c r="CS168" s="68"/>
      <c r="CT168" s="68"/>
      <c r="CU168" s="68"/>
      <c r="CV168" s="68"/>
      <c r="CW168" s="68"/>
      <c r="CX168" s="68"/>
      <c r="CY168" s="68"/>
      <c r="CZ168" s="68"/>
      <c r="DA168" s="68"/>
      <c r="DB168" s="68"/>
      <c r="DC168" s="68"/>
      <c r="DD168" s="68"/>
      <c r="DE168" s="68"/>
      <c r="DF168" s="68"/>
      <c r="DG168" s="68"/>
      <c r="DH168" s="68"/>
      <c r="DI168" s="68"/>
      <c r="DJ168" s="68"/>
      <c r="DK168" s="68"/>
      <c r="DL168" s="68"/>
      <c r="DM168" s="68"/>
      <c r="DN168" s="68"/>
      <c r="DO168" s="68"/>
      <c r="DP168" s="68"/>
      <c r="DQ168" s="68"/>
      <c r="DR168" s="68"/>
      <c r="DS168" s="68"/>
      <c r="DT168" s="68"/>
      <c r="DU168" s="68"/>
      <c r="DV168" s="68"/>
      <c r="DW168" s="68"/>
      <c r="DX168" s="68"/>
      <c r="DY168" s="68"/>
      <c r="DZ168" s="68"/>
      <c r="EA168" s="68"/>
      <c r="EB168" s="68"/>
      <c r="EC168" s="68"/>
      <c r="ED168" s="68"/>
      <c r="EE168" s="68"/>
      <c r="EF168" s="68"/>
      <c r="EG168" s="68"/>
      <c r="EH168" s="68"/>
      <c r="EI168" s="68"/>
      <c r="EJ168" s="68"/>
      <c r="EK168" s="68"/>
      <c r="EL168" s="68"/>
      <c r="EM168" s="68"/>
      <c r="EN168" s="68"/>
      <c r="EO168" s="68"/>
      <c r="EP168" s="68"/>
      <c r="EQ168" s="68"/>
      <c r="ER168" s="3"/>
      <c r="ES168" s="3"/>
      <c r="EV168" s="350"/>
      <c r="EW168" s="350"/>
      <c r="EX168" s="1"/>
      <c r="EY168" s="1"/>
      <c r="EZ168" s="350"/>
      <c r="FB168" s="1"/>
    </row>
    <row r="169" spans="3:158" ht="20.25" customHeight="1" x14ac:dyDescent="0.25">
      <c r="C169" s="1"/>
      <c r="D169" s="102"/>
      <c r="E169" s="102"/>
      <c r="F169" s="103"/>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113"/>
      <c r="AO169" s="68"/>
      <c r="AP169" s="68"/>
      <c r="AQ169" s="68"/>
      <c r="AR169" s="68"/>
      <c r="AS169" s="68"/>
      <c r="AT169" s="66"/>
      <c r="AU169" s="68"/>
      <c r="AV169" s="68"/>
      <c r="AW169" s="68"/>
      <c r="AX169" s="66"/>
      <c r="AY169" s="68"/>
      <c r="AZ169" s="66"/>
      <c r="BA169" s="68"/>
      <c r="BB169" s="68"/>
      <c r="BC169" s="68"/>
      <c r="BD169" s="68"/>
      <c r="BE169" s="68"/>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8"/>
      <c r="CG169" s="68"/>
      <c r="CH169" s="66"/>
      <c r="CI169" s="66"/>
      <c r="CJ169" s="68"/>
      <c r="CK169" s="68"/>
      <c r="CL169" s="68"/>
      <c r="CM169" s="68"/>
      <c r="CN169" s="66"/>
      <c r="CO169" s="68"/>
      <c r="CP169" s="66"/>
      <c r="CQ169" s="68"/>
      <c r="CR169" s="68"/>
      <c r="CS169" s="68"/>
      <c r="CT169" s="68"/>
      <c r="CU169" s="68"/>
      <c r="CV169" s="68"/>
      <c r="CW169" s="68"/>
      <c r="CX169" s="68"/>
      <c r="CY169" s="68"/>
      <c r="CZ169" s="68"/>
      <c r="DA169" s="68"/>
      <c r="DB169" s="68"/>
      <c r="DC169" s="68"/>
      <c r="DD169" s="68"/>
      <c r="DE169" s="68"/>
      <c r="DF169" s="68"/>
      <c r="DG169" s="68"/>
      <c r="DH169" s="68"/>
      <c r="DI169" s="68"/>
      <c r="DJ169" s="68"/>
      <c r="DK169" s="68"/>
      <c r="DL169" s="68"/>
      <c r="DM169" s="68"/>
      <c r="DN169" s="68"/>
      <c r="DO169" s="68"/>
      <c r="DP169" s="68"/>
      <c r="DQ169" s="68"/>
      <c r="DR169" s="68"/>
      <c r="DS169" s="68"/>
      <c r="DT169" s="68"/>
      <c r="DU169" s="68"/>
      <c r="DV169" s="68"/>
      <c r="DW169" s="68"/>
      <c r="DX169" s="68"/>
      <c r="DY169" s="68"/>
      <c r="DZ169" s="68"/>
      <c r="EA169" s="68"/>
      <c r="EB169" s="68"/>
      <c r="EC169" s="68"/>
      <c r="ED169" s="68"/>
      <c r="EE169" s="68"/>
      <c r="EF169" s="68"/>
      <c r="EG169" s="68"/>
      <c r="EH169" s="68"/>
      <c r="EI169" s="68"/>
      <c r="EJ169" s="68"/>
      <c r="EK169" s="68"/>
      <c r="EL169" s="68"/>
      <c r="EM169" s="68"/>
      <c r="EN169" s="68"/>
      <c r="EO169" s="68"/>
      <c r="EP169" s="68"/>
      <c r="EQ169" s="68"/>
      <c r="ER169" s="3"/>
      <c r="ES169" s="3"/>
      <c r="EV169" s="350"/>
      <c r="EW169" s="350"/>
      <c r="EX169" s="1"/>
      <c r="EY169" s="1"/>
      <c r="EZ169" s="350"/>
      <c r="FB169" s="1"/>
    </row>
    <row r="170" spans="3:158" ht="20.25" customHeight="1" x14ac:dyDescent="0.25">
      <c r="C170" s="1"/>
      <c r="D170" s="102"/>
      <c r="E170" s="102"/>
      <c r="F170" s="103"/>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113"/>
      <c r="AO170" s="68"/>
      <c r="AP170" s="68"/>
      <c r="AQ170" s="68"/>
      <c r="AR170" s="68"/>
      <c r="AS170" s="68"/>
      <c r="AT170" s="66"/>
      <c r="AU170" s="68"/>
      <c r="AV170" s="68"/>
      <c r="AW170" s="68"/>
      <c r="AX170" s="66"/>
      <c r="AY170" s="68"/>
      <c r="AZ170" s="66"/>
      <c r="BA170" s="68"/>
      <c r="BB170" s="68"/>
      <c r="BC170" s="68"/>
      <c r="BD170" s="68"/>
      <c r="BE170" s="68"/>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8"/>
      <c r="CG170" s="68"/>
      <c r="CH170" s="66"/>
      <c r="CI170" s="66"/>
      <c r="CJ170" s="68"/>
      <c r="CK170" s="68"/>
      <c r="CL170" s="68"/>
      <c r="CM170" s="68"/>
      <c r="CN170" s="66"/>
      <c r="CO170" s="68"/>
      <c r="CP170" s="66"/>
      <c r="CQ170" s="68"/>
      <c r="CR170" s="68"/>
      <c r="CS170" s="68"/>
      <c r="CT170" s="68"/>
      <c r="CU170" s="68"/>
      <c r="CV170" s="68"/>
      <c r="CW170" s="68"/>
      <c r="CX170" s="68"/>
      <c r="CY170" s="68"/>
      <c r="CZ170" s="68"/>
      <c r="DA170" s="68"/>
      <c r="DB170" s="68"/>
      <c r="DC170" s="68"/>
      <c r="DD170" s="68"/>
      <c r="DE170" s="68"/>
      <c r="DF170" s="68"/>
      <c r="DG170" s="68"/>
      <c r="DH170" s="68"/>
      <c r="DI170" s="68"/>
      <c r="DJ170" s="68"/>
      <c r="DK170" s="68"/>
      <c r="DL170" s="68"/>
      <c r="DM170" s="68"/>
      <c r="DN170" s="68"/>
      <c r="DO170" s="68"/>
      <c r="DP170" s="68"/>
      <c r="DQ170" s="68"/>
      <c r="DR170" s="68"/>
      <c r="DS170" s="68"/>
      <c r="DT170" s="68"/>
      <c r="DU170" s="68"/>
      <c r="DV170" s="68"/>
      <c r="DW170" s="68"/>
      <c r="DX170" s="68"/>
      <c r="DY170" s="68"/>
      <c r="DZ170" s="68"/>
      <c r="EA170" s="68"/>
      <c r="EB170" s="68"/>
      <c r="EC170" s="68"/>
      <c r="ED170" s="68"/>
      <c r="EE170" s="68"/>
      <c r="EF170" s="68"/>
      <c r="EG170" s="68"/>
      <c r="EH170" s="68"/>
      <c r="EI170" s="68"/>
      <c r="EJ170" s="68"/>
      <c r="EK170" s="68"/>
      <c r="EL170" s="68"/>
      <c r="EM170" s="68"/>
      <c r="EN170" s="68"/>
      <c r="EO170" s="68"/>
      <c r="EP170" s="68"/>
      <c r="EQ170" s="68"/>
      <c r="ER170" s="3"/>
      <c r="ES170" s="3"/>
      <c r="EV170" s="350"/>
      <c r="EW170" s="350"/>
      <c r="EX170" s="1"/>
      <c r="EY170" s="1"/>
      <c r="EZ170" s="350"/>
      <c r="FB170" s="1"/>
    </row>
    <row r="171" spans="3:158" ht="20.25" customHeight="1" x14ac:dyDescent="0.25">
      <c r="C171" s="1"/>
      <c r="D171" s="102"/>
      <c r="E171" s="102"/>
      <c r="F171" s="103"/>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113"/>
      <c r="AO171" s="68"/>
      <c r="AP171" s="68"/>
      <c r="AQ171" s="68"/>
      <c r="AR171" s="68"/>
      <c r="AS171" s="68"/>
      <c r="AT171" s="66"/>
      <c r="AU171" s="68"/>
      <c r="AV171" s="68"/>
      <c r="AW171" s="68"/>
      <c r="AX171" s="66"/>
      <c r="AY171" s="68"/>
      <c r="AZ171" s="66"/>
      <c r="BA171" s="68"/>
      <c r="BB171" s="68"/>
      <c r="BC171" s="68"/>
      <c r="BD171" s="68"/>
      <c r="BE171" s="68"/>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8"/>
      <c r="CG171" s="68"/>
      <c r="CH171" s="66"/>
      <c r="CI171" s="66"/>
      <c r="CJ171" s="68"/>
      <c r="CK171" s="68"/>
      <c r="CL171" s="68"/>
      <c r="CM171" s="68"/>
      <c r="CN171" s="66"/>
      <c r="CO171" s="68"/>
      <c r="CP171" s="66"/>
      <c r="CQ171" s="68"/>
      <c r="CR171" s="68"/>
      <c r="CS171" s="68"/>
      <c r="CT171" s="68"/>
      <c r="CU171" s="68"/>
      <c r="CV171" s="68"/>
      <c r="CW171" s="68"/>
      <c r="CX171" s="68"/>
      <c r="CY171" s="68"/>
      <c r="CZ171" s="68"/>
      <c r="DA171" s="68"/>
      <c r="DB171" s="68"/>
      <c r="DC171" s="68"/>
      <c r="DD171" s="68"/>
      <c r="DE171" s="68"/>
      <c r="DF171" s="68"/>
      <c r="DG171" s="68"/>
      <c r="DH171" s="68"/>
      <c r="DI171" s="68"/>
      <c r="DJ171" s="68"/>
      <c r="DK171" s="68"/>
      <c r="DL171" s="68"/>
      <c r="DM171" s="68"/>
      <c r="DN171" s="68"/>
      <c r="DO171" s="68"/>
      <c r="DP171" s="68"/>
      <c r="DQ171" s="68"/>
      <c r="DR171" s="68"/>
      <c r="DS171" s="68"/>
      <c r="DT171" s="68"/>
      <c r="DU171" s="68"/>
      <c r="DV171" s="68"/>
      <c r="DW171" s="68"/>
      <c r="DX171" s="68"/>
      <c r="DY171" s="68"/>
      <c r="DZ171" s="68"/>
      <c r="EA171" s="68"/>
      <c r="EB171" s="68"/>
      <c r="EC171" s="68"/>
      <c r="ED171" s="68"/>
      <c r="EE171" s="68"/>
      <c r="EF171" s="68"/>
      <c r="EG171" s="68"/>
      <c r="EH171" s="68"/>
      <c r="EI171" s="68"/>
      <c r="EJ171" s="68"/>
      <c r="EK171" s="68"/>
      <c r="EL171" s="68"/>
      <c r="EM171" s="68"/>
      <c r="EN171" s="68"/>
      <c r="EO171" s="68"/>
      <c r="EP171" s="68"/>
      <c r="EQ171" s="68"/>
      <c r="ER171" s="3"/>
      <c r="ES171" s="3"/>
      <c r="EV171" s="350"/>
      <c r="EW171" s="350"/>
      <c r="EX171" s="1"/>
      <c r="EY171" s="1"/>
      <c r="EZ171" s="350"/>
      <c r="FB171" s="1"/>
    </row>
    <row r="172" spans="3:158" ht="20.25" customHeight="1" x14ac:dyDescent="0.25">
      <c r="C172" s="1"/>
      <c r="D172" s="102"/>
      <c r="E172" s="102"/>
      <c r="F172" s="103"/>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113"/>
      <c r="AO172" s="68"/>
      <c r="AP172" s="68"/>
      <c r="AQ172" s="68"/>
      <c r="AR172" s="68"/>
      <c r="AS172" s="68"/>
      <c r="AT172" s="66"/>
      <c r="AU172" s="68"/>
      <c r="AV172" s="68"/>
      <c r="AW172" s="68"/>
      <c r="AX172" s="66"/>
      <c r="AY172" s="68"/>
      <c r="AZ172" s="66"/>
      <c r="BA172" s="68"/>
      <c r="BB172" s="68"/>
      <c r="BC172" s="68"/>
      <c r="BD172" s="68"/>
      <c r="BE172" s="68"/>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8"/>
      <c r="CG172" s="68"/>
      <c r="CH172" s="66"/>
      <c r="CI172" s="66"/>
      <c r="CJ172" s="68"/>
      <c r="CK172" s="68"/>
      <c r="CL172" s="68"/>
      <c r="CM172" s="68"/>
      <c r="CN172" s="66"/>
      <c r="CO172" s="68"/>
      <c r="CP172" s="66"/>
      <c r="CQ172" s="68"/>
      <c r="CR172" s="68"/>
      <c r="CS172" s="68"/>
      <c r="CT172" s="68"/>
      <c r="CU172" s="68"/>
      <c r="CV172" s="68"/>
      <c r="CW172" s="68"/>
      <c r="CX172" s="68"/>
      <c r="CY172" s="68"/>
      <c r="CZ172" s="68"/>
      <c r="DA172" s="68"/>
      <c r="DB172" s="68"/>
      <c r="DC172" s="68"/>
      <c r="DD172" s="68"/>
      <c r="DE172" s="68"/>
      <c r="DF172" s="68"/>
      <c r="DG172" s="68"/>
      <c r="DH172" s="68"/>
      <c r="DI172" s="68"/>
      <c r="DJ172" s="68"/>
      <c r="DK172" s="68"/>
      <c r="DL172" s="68"/>
      <c r="DM172" s="68"/>
      <c r="DN172" s="68"/>
      <c r="DO172" s="68"/>
      <c r="DP172" s="68"/>
      <c r="DQ172" s="68"/>
      <c r="DR172" s="68"/>
      <c r="DS172" s="68"/>
      <c r="DT172" s="68"/>
      <c r="DU172" s="68"/>
      <c r="DV172" s="68"/>
      <c r="DW172" s="68"/>
      <c r="DX172" s="68"/>
      <c r="DY172" s="68"/>
      <c r="DZ172" s="68"/>
      <c r="EA172" s="68"/>
      <c r="EB172" s="68"/>
      <c r="EC172" s="68"/>
      <c r="ED172" s="68"/>
      <c r="EE172" s="68"/>
      <c r="EF172" s="68"/>
      <c r="EG172" s="68"/>
      <c r="EH172" s="68"/>
      <c r="EI172" s="68"/>
      <c r="EJ172" s="68"/>
      <c r="EK172" s="68"/>
      <c r="EL172" s="68"/>
      <c r="EM172" s="68"/>
      <c r="EN172" s="68"/>
      <c r="EO172" s="68"/>
      <c r="EP172" s="68"/>
      <c r="EQ172" s="68"/>
      <c r="ER172" s="3"/>
      <c r="ES172" s="3"/>
      <c r="EV172" s="350"/>
      <c r="EW172" s="350"/>
      <c r="EX172" s="1"/>
      <c r="EY172" s="1"/>
      <c r="EZ172" s="350"/>
      <c r="FB172" s="1"/>
    </row>
    <row r="173" spans="3:158" ht="20.25" customHeight="1" x14ac:dyDescent="0.25">
      <c r="C173" s="1"/>
      <c r="D173" s="102"/>
      <c r="E173" s="102"/>
      <c r="F173" s="103"/>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113"/>
      <c r="AO173" s="68"/>
      <c r="AP173" s="68"/>
      <c r="AQ173" s="68"/>
      <c r="AR173" s="68"/>
      <c r="AS173" s="68"/>
      <c r="AT173" s="66"/>
      <c r="AU173" s="68"/>
      <c r="AV173" s="68"/>
      <c r="AW173" s="68"/>
      <c r="AX173" s="66"/>
      <c r="AY173" s="68"/>
      <c r="AZ173" s="66"/>
      <c r="BA173" s="68"/>
      <c r="BB173" s="68"/>
      <c r="BC173" s="68"/>
      <c r="BD173" s="68"/>
      <c r="BE173" s="68"/>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8"/>
      <c r="CG173" s="68"/>
      <c r="CH173" s="66"/>
      <c r="CI173" s="66"/>
      <c r="CJ173" s="68"/>
      <c r="CK173" s="68"/>
      <c r="CL173" s="68"/>
      <c r="CM173" s="68"/>
      <c r="CN173" s="66"/>
      <c r="CO173" s="68"/>
      <c r="CP173" s="66"/>
      <c r="CQ173" s="68"/>
      <c r="CR173" s="68"/>
      <c r="CS173" s="68"/>
      <c r="CT173" s="68"/>
      <c r="CU173" s="68"/>
      <c r="CV173" s="68"/>
      <c r="CW173" s="68"/>
      <c r="CX173" s="68"/>
      <c r="CY173" s="68"/>
      <c r="CZ173" s="68"/>
      <c r="DA173" s="68"/>
      <c r="DB173" s="68"/>
      <c r="DC173" s="68"/>
      <c r="DD173" s="68"/>
      <c r="DE173" s="68"/>
      <c r="DF173" s="68"/>
      <c r="DG173" s="68"/>
      <c r="DH173" s="68"/>
      <c r="DI173" s="68"/>
      <c r="DJ173" s="68"/>
      <c r="DK173" s="68"/>
      <c r="DL173" s="68"/>
      <c r="DM173" s="68"/>
      <c r="DN173" s="68"/>
      <c r="DO173" s="68"/>
      <c r="DP173" s="68"/>
      <c r="DQ173" s="68"/>
      <c r="DR173" s="68"/>
      <c r="DS173" s="68"/>
      <c r="DT173" s="68"/>
      <c r="DU173" s="68"/>
      <c r="DV173" s="68"/>
      <c r="DW173" s="68"/>
      <c r="DX173" s="68"/>
      <c r="DY173" s="68"/>
      <c r="DZ173" s="68"/>
      <c r="EA173" s="68"/>
      <c r="EB173" s="68"/>
      <c r="EC173" s="68"/>
      <c r="ED173" s="68"/>
      <c r="EE173" s="68"/>
      <c r="EF173" s="68"/>
      <c r="EG173" s="68"/>
      <c r="EH173" s="68"/>
      <c r="EI173" s="68"/>
      <c r="EJ173" s="68"/>
      <c r="EK173" s="68"/>
      <c r="EL173" s="68"/>
      <c r="EM173" s="68"/>
      <c r="EN173" s="68"/>
      <c r="EO173" s="68"/>
      <c r="EP173" s="68"/>
      <c r="EQ173" s="68"/>
      <c r="ER173" s="3"/>
      <c r="ES173" s="3"/>
      <c r="EV173" s="350"/>
      <c r="EW173" s="350"/>
      <c r="EX173" s="1"/>
      <c r="EY173" s="1"/>
      <c r="EZ173" s="350"/>
      <c r="FB173" s="1"/>
    </row>
    <row r="174" spans="3:158" ht="20.25" customHeight="1" x14ac:dyDescent="0.25">
      <c r="C174" s="1"/>
      <c r="D174" s="102"/>
      <c r="E174" s="102"/>
      <c r="F174" s="103"/>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113"/>
      <c r="AO174" s="68"/>
      <c r="AP174" s="68"/>
      <c r="AQ174" s="68"/>
      <c r="AR174" s="68"/>
      <c r="AS174" s="68"/>
      <c r="AT174" s="66"/>
      <c r="AU174" s="68"/>
      <c r="AV174" s="68"/>
      <c r="AW174" s="68"/>
      <c r="AX174" s="66"/>
      <c r="AY174" s="68"/>
      <c r="AZ174" s="66"/>
      <c r="BA174" s="68"/>
      <c r="BB174" s="68"/>
      <c r="BC174" s="68"/>
      <c r="BD174" s="68"/>
      <c r="BE174" s="68"/>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8"/>
      <c r="CG174" s="68"/>
      <c r="CH174" s="66"/>
      <c r="CI174" s="66"/>
      <c r="CJ174" s="68"/>
      <c r="CK174" s="68"/>
      <c r="CL174" s="68"/>
      <c r="CM174" s="68"/>
      <c r="CN174" s="66"/>
      <c r="CO174" s="68"/>
      <c r="CP174" s="66"/>
      <c r="CQ174" s="68"/>
      <c r="CR174" s="68"/>
      <c r="CS174" s="68"/>
      <c r="CT174" s="68"/>
      <c r="CU174" s="68"/>
      <c r="CV174" s="68"/>
      <c r="CW174" s="68"/>
      <c r="CX174" s="68"/>
      <c r="CY174" s="68"/>
      <c r="CZ174" s="68"/>
      <c r="DA174" s="68"/>
      <c r="DB174" s="68"/>
      <c r="DC174" s="68"/>
      <c r="DD174" s="68"/>
      <c r="DE174" s="68"/>
      <c r="DF174" s="68"/>
      <c r="DG174" s="68"/>
      <c r="DH174" s="68"/>
      <c r="DI174" s="68"/>
      <c r="DJ174" s="68"/>
      <c r="DK174" s="68"/>
      <c r="DL174" s="68"/>
      <c r="DM174" s="68"/>
      <c r="DN174" s="68"/>
      <c r="DO174" s="68"/>
      <c r="DP174" s="68"/>
      <c r="DQ174" s="68"/>
      <c r="DR174" s="68"/>
      <c r="DS174" s="68"/>
      <c r="DT174" s="68"/>
      <c r="DU174" s="68"/>
      <c r="DV174" s="68"/>
      <c r="DW174" s="68"/>
      <c r="DX174" s="68"/>
      <c r="DY174" s="68"/>
      <c r="DZ174" s="68"/>
      <c r="EA174" s="68"/>
      <c r="EB174" s="68"/>
      <c r="EC174" s="68"/>
      <c r="ED174" s="68"/>
      <c r="EE174" s="68"/>
      <c r="EF174" s="68"/>
      <c r="EG174" s="68"/>
      <c r="EH174" s="68"/>
      <c r="EI174" s="68"/>
      <c r="EJ174" s="68"/>
      <c r="EK174" s="68"/>
      <c r="EL174" s="68"/>
      <c r="EM174" s="68"/>
      <c r="EN174" s="68"/>
      <c r="EO174" s="68"/>
      <c r="EP174" s="68"/>
      <c r="EQ174" s="68"/>
      <c r="ER174" s="3"/>
      <c r="ES174" s="3"/>
      <c r="EV174" s="350"/>
      <c r="EW174" s="350"/>
      <c r="EX174" s="1"/>
      <c r="EY174" s="1"/>
      <c r="EZ174" s="350"/>
      <c r="FB174" s="1"/>
    </row>
    <row r="175" spans="3:158" ht="20.25" customHeight="1" x14ac:dyDescent="0.25">
      <c r="C175" s="1"/>
      <c r="D175" s="102"/>
      <c r="E175" s="102"/>
      <c r="F175" s="103"/>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113"/>
      <c r="AO175" s="68"/>
      <c r="AP175" s="68"/>
      <c r="AQ175" s="68"/>
      <c r="AR175" s="68"/>
      <c r="AS175" s="68"/>
      <c r="AT175" s="66"/>
      <c r="AU175" s="68"/>
      <c r="AV175" s="68"/>
      <c r="AW175" s="68"/>
      <c r="AX175" s="66"/>
      <c r="AY175" s="68"/>
      <c r="AZ175" s="66"/>
      <c r="BA175" s="68"/>
      <c r="BB175" s="68"/>
      <c r="BC175" s="68"/>
      <c r="BD175" s="68"/>
      <c r="BE175" s="68"/>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8"/>
      <c r="CG175" s="68"/>
      <c r="CH175" s="66"/>
      <c r="CI175" s="66"/>
      <c r="CJ175" s="68"/>
      <c r="CK175" s="68"/>
      <c r="CL175" s="68"/>
      <c r="CM175" s="68"/>
      <c r="CN175" s="66"/>
      <c r="CO175" s="68"/>
      <c r="CP175" s="66"/>
      <c r="CQ175" s="68"/>
      <c r="CR175" s="68"/>
      <c r="CS175" s="68"/>
      <c r="CT175" s="68"/>
      <c r="CU175" s="68"/>
      <c r="CV175" s="68"/>
      <c r="CW175" s="68"/>
      <c r="CX175" s="68"/>
      <c r="CY175" s="68"/>
      <c r="CZ175" s="68"/>
      <c r="DA175" s="68"/>
      <c r="DB175" s="68"/>
      <c r="DC175" s="68"/>
      <c r="DD175" s="68"/>
      <c r="DE175" s="68"/>
      <c r="DF175" s="68"/>
      <c r="DG175" s="68"/>
      <c r="DH175" s="68"/>
      <c r="DI175" s="68"/>
      <c r="DJ175" s="68"/>
      <c r="DK175" s="68"/>
      <c r="DL175" s="68"/>
      <c r="DM175" s="68"/>
      <c r="DN175" s="68"/>
      <c r="DO175" s="68"/>
      <c r="DP175" s="68"/>
      <c r="DQ175" s="68"/>
      <c r="DR175" s="68"/>
      <c r="DS175" s="68"/>
      <c r="DT175" s="68"/>
      <c r="DU175" s="68"/>
      <c r="DV175" s="68"/>
      <c r="DW175" s="68"/>
      <c r="DX175" s="68"/>
      <c r="DY175" s="68"/>
      <c r="DZ175" s="68"/>
      <c r="EA175" s="68"/>
      <c r="EB175" s="68"/>
      <c r="EC175" s="68"/>
      <c r="ED175" s="68"/>
      <c r="EE175" s="68"/>
      <c r="EF175" s="68"/>
      <c r="EG175" s="68"/>
      <c r="EH175" s="68"/>
      <c r="EI175" s="68"/>
      <c r="EJ175" s="68"/>
      <c r="EK175" s="68"/>
      <c r="EL175" s="68"/>
      <c r="EM175" s="68"/>
      <c r="EN175" s="68"/>
      <c r="EO175" s="68"/>
      <c r="EP175" s="68"/>
      <c r="EQ175" s="68"/>
      <c r="ER175" s="3"/>
      <c r="ES175" s="3"/>
      <c r="EV175" s="350"/>
      <c r="EW175" s="350"/>
      <c r="EX175" s="1"/>
      <c r="EY175" s="1"/>
      <c r="EZ175" s="350"/>
      <c r="FB175" s="1"/>
    </row>
    <row r="176" spans="3:158" ht="20.25" customHeight="1" x14ac:dyDescent="0.25">
      <c r="C176" s="1"/>
      <c r="D176" s="102"/>
      <c r="E176" s="102"/>
      <c r="F176" s="103"/>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113"/>
      <c r="AO176" s="68"/>
      <c r="AP176" s="68"/>
      <c r="AQ176" s="68"/>
      <c r="AR176" s="68"/>
      <c r="AS176" s="68"/>
      <c r="AT176" s="66"/>
      <c r="AU176" s="68"/>
      <c r="AV176" s="68"/>
      <c r="AW176" s="68"/>
      <c r="AX176" s="66"/>
      <c r="AY176" s="68"/>
      <c r="AZ176" s="66"/>
      <c r="BA176" s="68"/>
      <c r="BB176" s="68"/>
      <c r="BC176" s="68"/>
      <c r="BD176" s="68"/>
      <c r="BE176" s="68"/>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8"/>
      <c r="CG176" s="68"/>
      <c r="CH176" s="66"/>
      <c r="CI176" s="66"/>
      <c r="CJ176" s="68"/>
      <c r="CK176" s="68"/>
      <c r="CL176" s="68"/>
      <c r="CM176" s="68"/>
      <c r="CN176" s="66"/>
      <c r="CO176" s="68"/>
      <c r="CP176" s="66"/>
      <c r="CQ176" s="68"/>
      <c r="CR176" s="68"/>
      <c r="CS176" s="68"/>
      <c r="CT176" s="68"/>
      <c r="CU176" s="68"/>
      <c r="CV176" s="68"/>
      <c r="CW176" s="68"/>
      <c r="CX176" s="68"/>
      <c r="CY176" s="68"/>
      <c r="CZ176" s="68"/>
      <c r="DA176" s="68"/>
      <c r="DB176" s="68"/>
      <c r="DC176" s="68"/>
      <c r="DD176" s="68"/>
      <c r="DE176" s="68"/>
      <c r="DF176" s="68"/>
      <c r="DG176" s="68"/>
      <c r="DH176" s="68"/>
      <c r="DI176" s="68"/>
      <c r="DJ176" s="68"/>
      <c r="DK176" s="68"/>
      <c r="DL176" s="68"/>
      <c r="DM176" s="68"/>
      <c r="DN176" s="68"/>
      <c r="DO176" s="68"/>
      <c r="DP176" s="68"/>
      <c r="DQ176" s="68"/>
      <c r="DR176" s="68"/>
      <c r="DS176" s="68"/>
      <c r="DT176" s="68"/>
      <c r="DU176" s="68"/>
      <c r="DV176" s="68"/>
      <c r="DW176" s="68"/>
      <c r="DX176" s="68"/>
      <c r="DY176" s="68"/>
      <c r="DZ176" s="68"/>
      <c r="EA176" s="68"/>
      <c r="EB176" s="68"/>
      <c r="EC176" s="68"/>
      <c r="ED176" s="68"/>
      <c r="EE176" s="68"/>
      <c r="EF176" s="68"/>
      <c r="EG176" s="68"/>
      <c r="EH176" s="68"/>
      <c r="EI176" s="68"/>
      <c r="EJ176" s="68"/>
      <c r="EK176" s="68"/>
      <c r="EL176" s="68"/>
      <c r="EM176" s="68"/>
      <c r="EN176" s="68"/>
      <c r="EO176" s="68"/>
      <c r="EP176" s="68"/>
      <c r="EQ176" s="68"/>
      <c r="ER176" s="3"/>
      <c r="ES176" s="3"/>
      <c r="EV176" s="350"/>
      <c r="EW176" s="350"/>
      <c r="EX176" s="1"/>
      <c r="EY176" s="1"/>
      <c r="EZ176" s="350"/>
      <c r="FB176" s="1"/>
    </row>
    <row r="177" spans="3:158" ht="20.25" customHeight="1" x14ac:dyDescent="0.25">
      <c r="C177" s="1"/>
      <c r="D177" s="102"/>
      <c r="E177" s="102"/>
      <c r="F177" s="103"/>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113"/>
      <c r="AO177" s="68"/>
      <c r="AP177" s="68"/>
      <c r="AQ177" s="68"/>
      <c r="AR177" s="68"/>
      <c r="AS177" s="68"/>
      <c r="AT177" s="66"/>
      <c r="AU177" s="68"/>
      <c r="AV177" s="68"/>
      <c r="AW177" s="68"/>
      <c r="AX177" s="66"/>
      <c r="AY177" s="68"/>
      <c r="AZ177" s="66"/>
      <c r="BA177" s="68"/>
      <c r="BB177" s="68"/>
      <c r="BC177" s="68"/>
      <c r="BD177" s="68"/>
      <c r="BE177" s="68"/>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8"/>
      <c r="CG177" s="68"/>
      <c r="CH177" s="66"/>
      <c r="CI177" s="66"/>
      <c r="CJ177" s="68"/>
      <c r="CK177" s="68"/>
      <c r="CL177" s="68"/>
      <c r="CM177" s="68"/>
      <c r="CN177" s="66"/>
      <c r="CO177" s="68"/>
      <c r="CP177" s="66"/>
      <c r="CQ177" s="68"/>
      <c r="CR177" s="68"/>
      <c r="CS177" s="68"/>
      <c r="CT177" s="68"/>
      <c r="CU177" s="68"/>
      <c r="CV177" s="68"/>
      <c r="CW177" s="68"/>
      <c r="CX177" s="68"/>
      <c r="CY177" s="68"/>
      <c r="CZ177" s="68"/>
      <c r="DA177" s="68"/>
      <c r="DB177" s="68"/>
      <c r="DC177" s="68"/>
      <c r="DD177" s="68"/>
      <c r="DE177" s="68"/>
      <c r="DF177" s="68"/>
      <c r="DG177" s="68"/>
      <c r="DH177" s="68"/>
      <c r="DI177" s="68"/>
      <c r="DJ177" s="68"/>
      <c r="DK177" s="68"/>
      <c r="DL177" s="68"/>
      <c r="DM177" s="68"/>
      <c r="DN177" s="68"/>
      <c r="DO177" s="68"/>
      <c r="DP177" s="68"/>
      <c r="DQ177" s="68"/>
      <c r="DR177" s="68"/>
      <c r="DS177" s="68"/>
      <c r="DT177" s="68"/>
      <c r="DU177" s="68"/>
      <c r="DV177" s="68"/>
      <c r="DW177" s="68"/>
      <c r="DX177" s="68"/>
      <c r="DY177" s="68"/>
      <c r="DZ177" s="68"/>
      <c r="EA177" s="68"/>
      <c r="EB177" s="68"/>
      <c r="EC177" s="68"/>
      <c r="ED177" s="68"/>
      <c r="EE177" s="68"/>
      <c r="EF177" s="68"/>
      <c r="EG177" s="68"/>
      <c r="EH177" s="68"/>
      <c r="EI177" s="68"/>
      <c r="EJ177" s="68"/>
      <c r="EK177" s="68"/>
      <c r="EL177" s="68"/>
      <c r="EM177" s="68"/>
      <c r="EN177" s="68"/>
      <c r="EO177" s="68"/>
      <c r="EP177" s="68"/>
      <c r="EQ177" s="68"/>
      <c r="ER177" s="3"/>
      <c r="ES177" s="3"/>
      <c r="EV177" s="350"/>
      <c r="EW177" s="350"/>
      <c r="EX177" s="1"/>
      <c r="EY177" s="1"/>
      <c r="EZ177" s="350"/>
      <c r="FB177" s="1"/>
    </row>
    <row r="178" spans="3:158" ht="20.25" customHeight="1" x14ac:dyDescent="0.25">
      <c r="C178" s="1"/>
      <c r="D178" s="102"/>
      <c r="E178" s="102"/>
      <c r="F178" s="103"/>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113"/>
      <c r="AO178" s="68"/>
      <c r="AP178" s="68"/>
      <c r="AQ178" s="68"/>
      <c r="AR178" s="68"/>
      <c r="AS178" s="68"/>
      <c r="AT178" s="66"/>
      <c r="AU178" s="68"/>
      <c r="AV178" s="68"/>
      <c r="AW178" s="68"/>
      <c r="AX178" s="66"/>
      <c r="AY178" s="68"/>
      <c r="AZ178" s="66"/>
      <c r="BA178" s="68"/>
      <c r="BB178" s="68"/>
      <c r="BC178" s="68"/>
      <c r="BD178" s="68"/>
      <c r="BE178" s="68"/>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8"/>
      <c r="CG178" s="68"/>
      <c r="CH178" s="66"/>
      <c r="CI178" s="66"/>
      <c r="CJ178" s="68"/>
      <c r="CK178" s="68"/>
      <c r="CL178" s="68"/>
      <c r="CM178" s="68"/>
      <c r="CN178" s="66"/>
      <c r="CO178" s="68"/>
      <c r="CP178" s="66"/>
      <c r="CQ178" s="68"/>
      <c r="CR178" s="68"/>
      <c r="CS178" s="68"/>
      <c r="CT178" s="68"/>
      <c r="CU178" s="68"/>
      <c r="CV178" s="68"/>
      <c r="CW178" s="68"/>
      <c r="CX178" s="68"/>
      <c r="CY178" s="68"/>
      <c r="CZ178" s="68"/>
      <c r="DA178" s="68"/>
      <c r="DB178" s="68"/>
      <c r="DC178" s="68"/>
      <c r="DD178" s="68"/>
      <c r="DE178" s="68"/>
      <c r="DF178" s="68"/>
      <c r="DG178" s="68"/>
      <c r="DH178" s="68"/>
      <c r="DI178" s="68"/>
      <c r="DJ178" s="68"/>
      <c r="DK178" s="68"/>
      <c r="DL178" s="68"/>
      <c r="DM178" s="68"/>
      <c r="DN178" s="68"/>
      <c r="DO178" s="68"/>
      <c r="DP178" s="68"/>
      <c r="DQ178" s="68"/>
      <c r="DR178" s="68"/>
      <c r="DS178" s="68"/>
      <c r="DT178" s="68"/>
      <c r="DU178" s="68"/>
      <c r="DV178" s="68"/>
      <c r="DW178" s="68"/>
      <c r="DX178" s="68"/>
      <c r="DY178" s="68"/>
      <c r="DZ178" s="68"/>
      <c r="EA178" s="68"/>
      <c r="EB178" s="68"/>
      <c r="EC178" s="68"/>
      <c r="ED178" s="68"/>
      <c r="EE178" s="68"/>
      <c r="EF178" s="68"/>
      <c r="EG178" s="68"/>
      <c r="EH178" s="68"/>
      <c r="EI178" s="68"/>
      <c r="EJ178" s="68"/>
      <c r="EK178" s="68"/>
      <c r="EL178" s="68"/>
      <c r="EM178" s="68"/>
      <c r="EN178" s="68"/>
      <c r="EO178" s="68"/>
      <c r="EP178" s="68"/>
      <c r="EQ178" s="68"/>
      <c r="ER178" s="3"/>
      <c r="ES178" s="3"/>
      <c r="EV178" s="350"/>
      <c r="EW178" s="350"/>
      <c r="EX178" s="1"/>
      <c r="EY178" s="1"/>
      <c r="EZ178" s="350"/>
      <c r="FB178" s="1"/>
    </row>
    <row r="179" spans="3:158" ht="20.25" customHeight="1" x14ac:dyDescent="0.25">
      <c r="C179" s="1"/>
      <c r="D179" s="102"/>
      <c r="E179" s="102"/>
      <c r="F179" s="103"/>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113"/>
      <c r="AO179" s="68"/>
      <c r="AP179" s="68"/>
      <c r="AQ179" s="68"/>
      <c r="AR179" s="68"/>
      <c r="AS179" s="68"/>
      <c r="AT179" s="66"/>
      <c r="AU179" s="68"/>
      <c r="AV179" s="68"/>
      <c r="AW179" s="68"/>
      <c r="AX179" s="66"/>
      <c r="AY179" s="68"/>
      <c r="AZ179" s="66"/>
      <c r="BA179" s="68"/>
      <c r="BB179" s="68"/>
      <c r="BC179" s="68"/>
      <c r="BD179" s="68"/>
      <c r="BE179" s="68"/>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8"/>
      <c r="CG179" s="68"/>
      <c r="CH179" s="66"/>
      <c r="CI179" s="66"/>
      <c r="CJ179" s="68"/>
      <c r="CK179" s="68"/>
      <c r="CL179" s="68"/>
      <c r="CM179" s="68"/>
      <c r="CN179" s="66"/>
      <c r="CO179" s="68"/>
      <c r="CP179" s="66"/>
      <c r="CQ179" s="68"/>
      <c r="CR179" s="68"/>
      <c r="CS179" s="68"/>
      <c r="CT179" s="68"/>
      <c r="CU179" s="68"/>
      <c r="CV179" s="68"/>
      <c r="CW179" s="68"/>
      <c r="CX179" s="68"/>
      <c r="CY179" s="68"/>
      <c r="CZ179" s="68"/>
      <c r="DA179" s="68"/>
      <c r="DB179" s="68"/>
      <c r="DC179" s="68"/>
      <c r="DD179" s="68"/>
      <c r="DE179" s="68"/>
      <c r="DF179" s="68"/>
      <c r="DG179" s="68"/>
      <c r="DH179" s="68"/>
      <c r="DI179" s="68"/>
      <c r="DJ179" s="68"/>
      <c r="DK179" s="68"/>
      <c r="DL179" s="68"/>
      <c r="DM179" s="68"/>
      <c r="DN179" s="68"/>
      <c r="DO179" s="68"/>
      <c r="DP179" s="68"/>
      <c r="DQ179" s="68"/>
      <c r="DR179" s="68"/>
      <c r="DS179" s="68"/>
      <c r="DT179" s="68"/>
      <c r="DU179" s="68"/>
      <c r="DV179" s="68"/>
      <c r="DW179" s="68"/>
      <c r="DX179" s="68"/>
      <c r="DY179" s="68"/>
      <c r="DZ179" s="68"/>
      <c r="EA179" s="68"/>
      <c r="EB179" s="68"/>
      <c r="EC179" s="68"/>
      <c r="ED179" s="68"/>
      <c r="EE179" s="68"/>
      <c r="EF179" s="68"/>
      <c r="EG179" s="68"/>
      <c r="EH179" s="68"/>
      <c r="EI179" s="68"/>
      <c r="EJ179" s="68"/>
      <c r="EK179" s="68"/>
      <c r="EL179" s="68"/>
      <c r="EM179" s="68"/>
      <c r="EN179" s="68"/>
      <c r="EO179" s="68"/>
      <c r="EP179" s="68"/>
      <c r="EQ179" s="68"/>
      <c r="ER179" s="3"/>
      <c r="ES179" s="3"/>
      <c r="EV179" s="350"/>
      <c r="EW179" s="350"/>
      <c r="EX179" s="1"/>
      <c r="EY179" s="1"/>
      <c r="EZ179" s="350"/>
      <c r="FB179" s="1"/>
    </row>
    <row r="180" spans="3:158" ht="20.25" customHeight="1" x14ac:dyDescent="0.25">
      <c r="C180" s="1"/>
      <c r="D180" s="102"/>
      <c r="E180" s="102"/>
      <c r="F180" s="103"/>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113"/>
      <c r="AO180" s="68"/>
      <c r="AP180" s="68"/>
      <c r="AQ180" s="68"/>
      <c r="AR180" s="68"/>
      <c r="AS180" s="68"/>
      <c r="AT180" s="66"/>
      <c r="AU180" s="68"/>
      <c r="AV180" s="68"/>
      <c r="AW180" s="68"/>
      <c r="AX180" s="66"/>
      <c r="AY180" s="68"/>
      <c r="AZ180" s="66"/>
      <c r="BA180" s="68"/>
      <c r="BB180" s="68"/>
      <c r="BC180" s="68"/>
      <c r="BD180" s="68"/>
      <c r="BE180" s="68"/>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8"/>
      <c r="CG180" s="68"/>
      <c r="CH180" s="66"/>
      <c r="CI180" s="66"/>
      <c r="CJ180" s="68"/>
      <c r="CK180" s="68"/>
      <c r="CL180" s="68"/>
      <c r="CM180" s="68"/>
      <c r="CN180" s="66"/>
      <c r="CO180" s="68"/>
      <c r="CP180" s="66"/>
      <c r="CQ180" s="68"/>
      <c r="CR180" s="68"/>
      <c r="CS180" s="68"/>
      <c r="CT180" s="68"/>
      <c r="CU180" s="68"/>
      <c r="CV180" s="68"/>
      <c r="CW180" s="68"/>
      <c r="CX180" s="68"/>
      <c r="CY180" s="68"/>
      <c r="CZ180" s="68"/>
      <c r="DA180" s="68"/>
      <c r="DB180" s="68"/>
      <c r="DC180" s="68"/>
      <c r="DD180" s="68"/>
      <c r="DE180" s="68"/>
      <c r="DF180" s="68"/>
      <c r="DG180" s="68"/>
      <c r="DH180" s="68"/>
      <c r="DI180" s="68"/>
      <c r="DJ180" s="68"/>
      <c r="DK180" s="68"/>
      <c r="DL180" s="68"/>
      <c r="DM180" s="68"/>
      <c r="DN180" s="68"/>
      <c r="DO180" s="68"/>
      <c r="DP180" s="68"/>
      <c r="DQ180" s="68"/>
      <c r="DR180" s="68"/>
      <c r="DS180" s="68"/>
      <c r="DT180" s="68"/>
      <c r="DU180" s="68"/>
      <c r="DV180" s="68"/>
      <c r="DW180" s="68"/>
      <c r="DX180" s="68"/>
      <c r="DY180" s="68"/>
      <c r="DZ180" s="68"/>
      <c r="EA180" s="68"/>
      <c r="EB180" s="68"/>
      <c r="EC180" s="68"/>
      <c r="ED180" s="68"/>
      <c r="EE180" s="68"/>
      <c r="EF180" s="68"/>
      <c r="EG180" s="68"/>
      <c r="EH180" s="68"/>
      <c r="EI180" s="68"/>
      <c r="EJ180" s="68"/>
      <c r="EK180" s="68"/>
      <c r="EL180" s="68"/>
      <c r="EM180" s="68"/>
      <c r="EN180" s="68"/>
      <c r="EO180" s="68"/>
      <c r="EP180" s="68"/>
      <c r="EQ180" s="68"/>
      <c r="ER180" s="3"/>
      <c r="ES180" s="3"/>
      <c r="EV180" s="350"/>
      <c r="EW180" s="350"/>
      <c r="EX180" s="1"/>
      <c r="EY180" s="1"/>
      <c r="EZ180" s="350"/>
      <c r="FB180" s="1"/>
    </row>
    <row r="181" spans="3:158" ht="20.25" customHeight="1" x14ac:dyDescent="0.25">
      <c r="C181" s="1"/>
      <c r="D181" s="102"/>
      <c r="E181" s="102"/>
      <c r="F181" s="103"/>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113"/>
      <c r="AO181" s="68"/>
      <c r="AP181" s="68"/>
      <c r="AQ181" s="68"/>
      <c r="AR181" s="68"/>
      <c r="AS181" s="68"/>
      <c r="AT181" s="66"/>
      <c r="AU181" s="68"/>
      <c r="AV181" s="68"/>
      <c r="AW181" s="68"/>
      <c r="AX181" s="66"/>
      <c r="AY181" s="68"/>
      <c r="AZ181" s="66"/>
      <c r="BA181" s="68"/>
      <c r="BB181" s="68"/>
      <c r="BC181" s="68"/>
      <c r="BD181" s="68"/>
      <c r="BE181" s="68"/>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8"/>
      <c r="CG181" s="68"/>
      <c r="CH181" s="66"/>
      <c r="CI181" s="66"/>
      <c r="CJ181" s="68"/>
      <c r="CK181" s="68"/>
      <c r="CL181" s="68"/>
      <c r="CM181" s="68"/>
      <c r="CN181" s="66"/>
      <c r="CO181" s="68"/>
      <c r="CP181" s="66"/>
      <c r="CQ181" s="68"/>
      <c r="CR181" s="68"/>
      <c r="CS181" s="68"/>
      <c r="CT181" s="68"/>
      <c r="CU181" s="68"/>
      <c r="CV181" s="68"/>
      <c r="CW181" s="68"/>
      <c r="CX181" s="68"/>
      <c r="CY181" s="68"/>
      <c r="CZ181" s="68"/>
      <c r="DA181" s="68"/>
      <c r="DB181" s="68"/>
      <c r="DC181" s="68"/>
      <c r="DD181" s="68"/>
      <c r="DE181" s="68"/>
      <c r="DF181" s="68"/>
      <c r="DG181" s="68"/>
      <c r="DH181" s="68"/>
      <c r="DI181" s="68"/>
      <c r="DJ181" s="68"/>
      <c r="DK181" s="68"/>
      <c r="DL181" s="68"/>
      <c r="DM181" s="68"/>
      <c r="DN181" s="68"/>
      <c r="DO181" s="68"/>
      <c r="DP181" s="68"/>
      <c r="DQ181" s="68"/>
      <c r="DR181" s="68"/>
      <c r="DS181" s="68"/>
      <c r="DT181" s="68"/>
      <c r="DU181" s="68"/>
      <c r="DV181" s="68"/>
      <c r="DW181" s="68"/>
      <c r="DX181" s="68"/>
      <c r="DY181" s="68"/>
      <c r="DZ181" s="68"/>
      <c r="EA181" s="68"/>
      <c r="EB181" s="68"/>
      <c r="EC181" s="68"/>
      <c r="ED181" s="68"/>
      <c r="EE181" s="68"/>
      <c r="EF181" s="68"/>
      <c r="EG181" s="68"/>
      <c r="EH181" s="68"/>
      <c r="EI181" s="68"/>
      <c r="EJ181" s="68"/>
      <c r="EK181" s="68"/>
      <c r="EL181" s="68"/>
      <c r="EM181" s="68"/>
      <c r="EN181" s="68"/>
      <c r="EO181" s="68"/>
      <c r="EP181" s="68"/>
      <c r="EQ181" s="68"/>
      <c r="ER181" s="3"/>
      <c r="ES181" s="3"/>
      <c r="EV181" s="350"/>
      <c r="EW181" s="350"/>
      <c r="EX181" s="1"/>
      <c r="EY181" s="1"/>
      <c r="EZ181" s="350"/>
      <c r="FB181" s="1"/>
    </row>
    <row r="182" spans="3:158" ht="20.25" customHeight="1" x14ac:dyDescent="0.25">
      <c r="C182" s="1"/>
      <c r="D182" s="102"/>
      <c r="E182" s="102"/>
      <c r="F182" s="103"/>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113"/>
      <c r="AO182" s="68"/>
      <c r="AP182" s="68"/>
      <c r="AQ182" s="68"/>
      <c r="AR182" s="68"/>
      <c r="AS182" s="68"/>
      <c r="AT182" s="66"/>
      <c r="AU182" s="68"/>
      <c r="AV182" s="68"/>
      <c r="AW182" s="68"/>
      <c r="AX182" s="66"/>
      <c r="AY182" s="68"/>
      <c r="AZ182" s="66"/>
      <c r="BA182" s="68"/>
      <c r="BB182" s="68"/>
      <c r="BC182" s="68"/>
      <c r="BD182" s="68"/>
      <c r="BE182" s="68"/>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8"/>
      <c r="CG182" s="68"/>
      <c r="CH182" s="66"/>
      <c r="CI182" s="66"/>
      <c r="CJ182" s="68"/>
      <c r="CK182" s="68"/>
      <c r="CL182" s="68"/>
      <c r="CM182" s="68"/>
      <c r="CN182" s="66"/>
      <c r="CO182" s="68"/>
      <c r="CP182" s="66"/>
      <c r="CQ182" s="68"/>
      <c r="CR182" s="68"/>
      <c r="CS182" s="68"/>
      <c r="CT182" s="68"/>
      <c r="CU182" s="68"/>
      <c r="CV182" s="68"/>
      <c r="CW182" s="68"/>
      <c r="CX182" s="68"/>
      <c r="CY182" s="68"/>
      <c r="CZ182" s="68"/>
      <c r="DA182" s="68"/>
      <c r="DB182" s="68"/>
      <c r="DC182" s="68"/>
      <c r="DD182" s="68"/>
      <c r="DE182" s="68"/>
      <c r="DF182" s="68"/>
      <c r="DG182" s="68"/>
      <c r="DH182" s="68"/>
      <c r="DI182" s="68"/>
      <c r="DJ182" s="68"/>
      <c r="DK182" s="68"/>
      <c r="DL182" s="68"/>
      <c r="DM182" s="68"/>
      <c r="DN182" s="68"/>
      <c r="DO182" s="68"/>
      <c r="DP182" s="68"/>
      <c r="DQ182" s="68"/>
      <c r="DR182" s="68"/>
      <c r="DS182" s="68"/>
      <c r="DT182" s="68"/>
      <c r="DU182" s="68"/>
      <c r="DV182" s="68"/>
      <c r="DW182" s="68"/>
      <c r="DX182" s="68"/>
      <c r="DY182" s="68"/>
      <c r="DZ182" s="68"/>
      <c r="EA182" s="68"/>
      <c r="EB182" s="68"/>
      <c r="EC182" s="68"/>
      <c r="ED182" s="68"/>
      <c r="EE182" s="68"/>
      <c r="EF182" s="68"/>
      <c r="EG182" s="68"/>
      <c r="EH182" s="68"/>
      <c r="EI182" s="68"/>
      <c r="EJ182" s="68"/>
      <c r="EK182" s="68"/>
      <c r="EL182" s="68"/>
      <c r="EM182" s="68"/>
      <c r="EN182" s="68"/>
      <c r="EO182" s="68"/>
      <c r="EP182" s="68"/>
      <c r="EQ182" s="68"/>
      <c r="ER182" s="3"/>
      <c r="ES182" s="3"/>
      <c r="EV182" s="350"/>
      <c r="EW182" s="350"/>
      <c r="EX182" s="1"/>
      <c r="EY182" s="1"/>
      <c r="EZ182" s="350"/>
      <c r="FB182" s="1"/>
    </row>
    <row r="183" spans="3:158" ht="20.25" customHeight="1" x14ac:dyDescent="0.25">
      <c r="C183" s="1"/>
      <c r="D183" s="102"/>
      <c r="E183" s="102"/>
      <c r="F183" s="103"/>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113"/>
      <c r="AO183" s="68"/>
      <c r="AP183" s="68"/>
      <c r="AQ183" s="68"/>
      <c r="AR183" s="68"/>
      <c r="AS183" s="68"/>
      <c r="AT183" s="66"/>
      <c r="AU183" s="68"/>
      <c r="AV183" s="68"/>
      <c r="AW183" s="68"/>
      <c r="AX183" s="66"/>
      <c r="AY183" s="68"/>
      <c r="AZ183" s="66"/>
      <c r="BA183" s="68"/>
      <c r="BB183" s="68"/>
      <c r="BC183" s="68"/>
      <c r="BD183" s="68"/>
      <c r="BE183" s="68"/>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8"/>
      <c r="CG183" s="68"/>
      <c r="CH183" s="66"/>
      <c r="CI183" s="66"/>
      <c r="CJ183" s="68"/>
      <c r="CK183" s="68"/>
      <c r="CL183" s="68"/>
      <c r="CM183" s="68"/>
      <c r="CN183" s="66"/>
      <c r="CO183" s="68"/>
      <c r="CP183" s="66"/>
      <c r="CQ183" s="68"/>
      <c r="CR183" s="68"/>
      <c r="CS183" s="68"/>
      <c r="CT183" s="68"/>
      <c r="CU183" s="68"/>
      <c r="CV183" s="68"/>
      <c r="CW183" s="68"/>
      <c r="CX183" s="68"/>
      <c r="CY183" s="68"/>
      <c r="CZ183" s="68"/>
      <c r="DA183" s="68"/>
      <c r="DB183" s="68"/>
      <c r="DC183" s="68"/>
      <c r="DD183" s="68"/>
      <c r="DE183" s="68"/>
      <c r="DF183" s="68"/>
      <c r="DG183" s="68"/>
      <c r="DH183" s="68"/>
      <c r="DI183" s="68"/>
      <c r="DJ183" s="68"/>
      <c r="DK183" s="68"/>
      <c r="DL183" s="68"/>
      <c r="DM183" s="68"/>
      <c r="DN183" s="68"/>
      <c r="DO183" s="68"/>
      <c r="DP183" s="68"/>
      <c r="DQ183" s="68"/>
      <c r="DR183" s="68"/>
      <c r="DS183" s="68"/>
      <c r="DT183" s="68"/>
      <c r="DU183" s="68"/>
      <c r="DV183" s="68"/>
      <c r="DW183" s="68"/>
      <c r="DX183" s="68"/>
      <c r="DY183" s="68"/>
      <c r="DZ183" s="68"/>
      <c r="EA183" s="68"/>
      <c r="EB183" s="68"/>
      <c r="EC183" s="68"/>
      <c r="ED183" s="68"/>
      <c r="EE183" s="68"/>
      <c r="EF183" s="68"/>
      <c r="EG183" s="68"/>
      <c r="EH183" s="68"/>
      <c r="EI183" s="68"/>
      <c r="EJ183" s="68"/>
      <c r="EK183" s="68"/>
      <c r="EL183" s="68"/>
      <c r="EM183" s="68"/>
      <c r="EN183" s="68"/>
      <c r="EO183" s="68"/>
      <c r="EP183" s="68"/>
      <c r="EQ183" s="68"/>
      <c r="ER183" s="3"/>
      <c r="ES183" s="3"/>
      <c r="EV183" s="350"/>
      <c r="EW183" s="350"/>
      <c r="EX183" s="1"/>
      <c r="EY183" s="1"/>
      <c r="EZ183" s="350"/>
      <c r="FB183" s="1"/>
    </row>
    <row r="184" spans="3:158" ht="20.25" customHeight="1" x14ac:dyDescent="0.25">
      <c r="C184" s="1"/>
      <c r="D184" s="102"/>
      <c r="E184" s="102"/>
      <c r="F184" s="103"/>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113"/>
      <c r="AO184" s="68"/>
      <c r="AP184" s="68"/>
      <c r="AQ184" s="68"/>
      <c r="AR184" s="68"/>
      <c r="AS184" s="68"/>
      <c r="AT184" s="66"/>
      <c r="AU184" s="68"/>
      <c r="AV184" s="68"/>
      <c r="AW184" s="68"/>
      <c r="AX184" s="66"/>
      <c r="AY184" s="68"/>
      <c r="AZ184" s="66"/>
      <c r="BA184" s="68"/>
      <c r="BB184" s="68"/>
      <c r="BC184" s="68"/>
      <c r="BD184" s="68"/>
      <c r="BE184" s="68"/>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8"/>
      <c r="CG184" s="68"/>
      <c r="CH184" s="66"/>
      <c r="CI184" s="66"/>
      <c r="CJ184" s="68"/>
      <c r="CK184" s="68"/>
      <c r="CL184" s="68"/>
      <c r="CM184" s="68"/>
      <c r="CN184" s="66"/>
      <c r="CO184" s="68"/>
      <c r="CP184" s="66"/>
      <c r="CQ184" s="68"/>
      <c r="CR184" s="68"/>
      <c r="CS184" s="68"/>
      <c r="CT184" s="68"/>
      <c r="CU184" s="68"/>
      <c r="CV184" s="68"/>
      <c r="CW184" s="68"/>
      <c r="CX184" s="68"/>
      <c r="CY184" s="68"/>
      <c r="CZ184" s="68"/>
      <c r="DA184" s="68"/>
      <c r="DB184" s="68"/>
      <c r="DC184" s="68"/>
      <c r="DD184" s="68"/>
      <c r="DE184" s="68"/>
      <c r="DF184" s="68"/>
      <c r="DG184" s="68"/>
      <c r="DH184" s="68"/>
      <c r="DI184" s="68"/>
      <c r="DJ184" s="68"/>
      <c r="DK184" s="68"/>
      <c r="DL184" s="68"/>
      <c r="DM184" s="68"/>
      <c r="DN184" s="68"/>
      <c r="DO184" s="68"/>
      <c r="DP184" s="68"/>
      <c r="DQ184" s="68"/>
      <c r="DR184" s="68"/>
      <c r="DS184" s="68"/>
      <c r="DT184" s="68"/>
      <c r="DU184" s="68"/>
      <c r="DV184" s="68"/>
      <c r="DW184" s="68"/>
      <c r="DX184" s="68"/>
      <c r="DY184" s="68"/>
      <c r="DZ184" s="68"/>
      <c r="EA184" s="68"/>
      <c r="EB184" s="68"/>
      <c r="EC184" s="68"/>
      <c r="ED184" s="68"/>
      <c r="EE184" s="68"/>
      <c r="EF184" s="68"/>
      <c r="EG184" s="68"/>
      <c r="EH184" s="68"/>
      <c r="EI184" s="68"/>
      <c r="EJ184" s="68"/>
      <c r="EK184" s="68"/>
      <c r="EL184" s="68"/>
      <c r="EM184" s="68"/>
      <c r="EN184" s="68"/>
      <c r="EO184" s="68"/>
      <c r="EP184" s="68"/>
      <c r="EQ184" s="68"/>
      <c r="ER184" s="3"/>
      <c r="ES184" s="3"/>
      <c r="EV184" s="350"/>
      <c r="EW184" s="350"/>
      <c r="EX184" s="1"/>
      <c r="EY184" s="1"/>
      <c r="EZ184" s="350"/>
      <c r="FB184" s="1"/>
    </row>
    <row r="185" spans="3:158" ht="20.25" customHeight="1" x14ac:dyDescent="0.25">
      <c r="C185" s="1"/>
      <c r="D185" s="102"/>
      <c r="E185" s="102"/>
      <c r="F185" s="103"/>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113"/>
      <c r="AO185" s="68"/>
      <c r="AP185" s="68"/>
      <c r="AQ185" s="68"/>
      <c r="AR185" s="68"/>
      <c r="AS185" s="68"/>
      <c r="AT185" s="66"/>
      <c r="AU185" s="68"/>
      <c r="AV185" s="68"/>
      <c r="AW185" s="68"/>
      <c r="AX185" s="66"/>
      <c r="AY185" s="68"/>
      <c r="AZ185" s="66"/>
      <c r="BA185" s="68"/>
      <c r="BB185" s="68"/>
      <c r="BC185" s="68"/>
      <c r="BD185" s="68"/>
      <c r="BE185" s="68"/>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8"/>
      <c r="CG185" s="68"/>
      <c r="CH185" s="66"/>
      <c r="CI185" s="66"/>
      <c r="CJ185" s="68"/>
      <c r="CK185" s="68"/>
      <c r="CL185" s="68"/>
      <c r="CM185" s="68"/>
      <c r="CN185" s="66"/>
      <c r="CO185" s="68"/>
      <c r="CP185" s="66"/>
      <c r="CQ185" s="68"/>
      <c r="CR185" s="68"/>
      <c r="CS185" s="68"/>
      <c r="CT185" s="68"/>
      <c r="CU185" s="68"/>
      <c r="CV185" s="68"/>
      <c r="CW185" s="68"/>
      <c r="CX185" s="68"/>
      <c r="CY185" s="68"/>
      <c r="CZ185" s="68"/>
      <c r="DA185" s="68"/>
      <c r="DB185" s="68"/>
      <c r="DC185" s="68"/>
      <c r="DD185" s="68"/>
      <c r="DE185" s="68"/>
      <c r="DF185" s="68"/>
      <c r="DG185" s="68"/>
      <c r="DH185" s="68"/>
      <c r="DI185" s="68"/>
      <c r="DJ185" s="68"/>
      <c r="DK185" s="68"/>
      <c r="DL185" s="68"/>
      <c r="DM185" s="68"/>
      <c r="DN185" s="68"/>
      <c r="DO185" s="68"/>
      <c r="DP185" s="68"/>
      <c r="DQ185" s="68"/>
      <c r="DR185" s="68"/>
      <c r="DS185" s="68"/>
      <c r="DT185" s="68"/>
      <c r="DU185" s="68"/>
      <c r="DV185" s="68"/>
      <c r="DW185" s="68"/>
      <c r="DX185" s="68"/>
      <c r="DY185" s="68"/>
      <c r="DZ185" s="68"/>
      <c r="EA185" s="68"/>
      <c r="EB185" s="68"/>
      <c r="EC185" s="68"/>
      <c r="ED185" s="68"/>
      <c r="EE185" s="68"/>
      <c r="EF185" s="68"/>
      <c r="EG185" s="68"/>
      <c r="EH185" s="68"/>
      <c r="EI185" s="68"/>
      <c r="EJ185" s="68"/>
      <c r="EK185" s="68"/>
      <c r="EL185" s="68"/>
      <c r="EM185" s="68"/>
      <c r="EN185" s="68"/>
      <c r="EO185" s="68"/>
      <c r="EP185" s="68"/>
      <c r="EQ185" s="68"/>
      <c r="ER185" s="3"/>
      <c r="ES185" s="3"/>
      <c r="EV185" s="350"/>
      <c r="EW185" s="350"/>
      <c r="EX185" s="1"/>
      <c r="EY185" s="1"/>
      <c r="EZ185" s="350"/>
      <c r="FB185" s="1"/>
    </row>
    <row r="186" spans="3:158" ht="20.25" customHeight="1" x14ac:dyDescent="0.25">
      <c r="C186" s="1"/>
      <c r="D186" s="102"/>
      <c r="E186" s="102"/>
      <c r="F186" s="103"/>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113"/>
      <c r="AO186" s="68"/>
      <c r="AP186" s="68"/>
      <c r="AQ186" s="68"/>
      <c r="AR186" s="68"/>
      <c r="AS186" s="68"/>
      <c r="AT186" s="66"/>
      <c r="AU186" s="68"/>
      <c r="AV186" s="68"/>
      <c r="AW186" s="68"/>
      <c r="AX186" s="66"/>
      <c r="AY186" s="68"/>
      <c r="AZ186" s="66"/>
      <c r="BA186" s="68"/>
      <c r="BB186" s="68"/>
      <c r="BC186" s="68"/>
      <c r="BD186" s="68"/>
      <c r="BE186" s="68"/>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8"/>
      <c r="CG186" s="68"/>
      <c r="CH186" s="66"/>
      <c r="CI186" s="66"/>
      <c r="CJ186" s="68"/>
      <c r="CK186" s="68"/>
      <c r="CL186" s="68"/>
      <c r="CM186" s="68"/>
      <c r="CN186" s="66"/>
      <c r="CO186" s="68"/>
      <c r="CP186" s="66"/>
      <c r="CQ186" s="68"/>
      <c r="CR186" s="68"/>
      <c r="CS186" s="68"/>
      <c r="CT186" s="68"/>
      <c r="CU186" s="68"/>
      <c r="CV186" s="68"/>
      <c r="CW186" s="68"/>
      <c r="CX186" s="68"/>
      <c r="CY186" s="68"/>
      <c r="CZ186" s="68"/>
      <c r="DA186" s="68"/>
      <c r="DB186" s="68"/>
      <c r="DC186" s="68"/>
      <c r="DD186" s="68"/>
      <c r="DE186" s="68"/>
      <c r="DF186" s="68"/>
      <c r="DG186" s="68"/>
      <c r="DH186" s="68"/>
      <c r="DI186" s="68"/>
      <c r="DJ186" s="68"/>
      <c r="DK186" s="68"/>
      <c r="DL186" s="68"/>
      <c r="DM186" s="68"/>
      <c r="DN186" s="68"/>
      <c r="DO186" s="68"/>
      <c r="DP186" s="68"/>
      <c r="DQ186" s="68"/>
      <c r="DR186" s="68"/>
      <c r="DS186" s="68"/>
      <c r="DT186" s="68"/>
      <c r="DU186" s="68"/>
      <c r="DV186" s="68"/>
      <c r="DW186" s="68"/>
      <c r="DX186" s="68"/>
      <c r="DY186" s="68"/>
      <c r="DZ186" s="68"/>
      <c r="EA186" s="68"/>
      <c r="EB186" s="68"/>
      <c r="EC186" s="68"/>
      <c r="ED186" s="68"/>
      <c r="EE186" s="68"/>
      <c r="EF186" s="68"/>
      <c r="EG186" s="68"/>
      <c r="EH186" s="68"/>
      <c r="EI186" s="68"/>
      <c r="EJ186" s="68"/>
      <c r="EK186" s="68"/>
      <c r="EL186" s="68"/>
      <c r="EM186" s="68"/>
      <c r="EN186" s="68"/>
      <c r="EO186" s="68"/>
      <c r="EP186" s="68"/>
      <c r="EQ186" s="68"/>
      <c r="ER186" s="3"/>
      <c r="ES186" s="3"/>
      <c r="EV186" s="350"/>
      <c r="EW186" s="350"/>
      <c r="EX186" s="1"/>
      <c r="EY186" s="1"/>
      <c r="EZ186" s="350"/>
      <c r="FB186" s="1"/>
    </row>
    <row r="187" spans="3:158" ht="20.25" customHeight="1" x14ac:dyDescent="0.25">
      <c r="C187" s="1"/>
      <c r="D187" s="102"/>
      <c r="E187" s="102"/>
      <c r="F187" s="103"/>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113"/>
      <c r="AO187" s="68"/>
      <c r="AP187" s="68"/>
      <c r="AQ187" s="68"/>
      <c r="AR187" s="68"/>
      <c r="AS187" s="68"/>
      <c r="AT187" s="66"/>
      <c r="AU187" s="68"/>
      <c r="AV187" s="68"/>
      <c r="AW187" s="68"/>
      <c r="AX187" s="66"/>
      <c r="AY187" s="68"/>
      <c r="AZ187" s="66"/>
      <c r="BA187" s="68"/>
      <c r="BB187" s="68"/>
      <c r="BC187" s="68"/>
      <c r="BD187" s="68"/>
      <c r="BE187" s="68"/>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8"/>
      <c r="CG187" s="68"/>
      <c r="CH187" s="66"/>
      <c r="CI187" s="66"/>
      <c r="CJ187" s="68"/>
      <c r="CK187" s="68"/>
      <c r="CL187" s="68"/>
      <c r="CM187" s="68"/>
      <c r="CN187" s="66"/>
      <c r="CO187" s="68"/>
      <c r="CP187" s="66"/>
      <c r="CQ187" s="68"/>
      <c r="CR187" s="68"/>
      <c r="CS187" s="68"/>
      <c r="CT187" s="68"/>
      <c r="CU187" s="68"/>
      <c r="CV187" s="68"/>
      <c r="CW187" s="68"/>
      <c r="CX187" s="68"/>
      <c r="CY187" s="68"/>
      <c r="CZ187" s="68"/>
      <c r="DA187" s="68"/>
      <c r="DB187" s="68"/>
      <c r="DC187" s="68"/>
      <c r="DD187" s="68"/>
      <c r="DE187" s="68"/>
      <c r="DF187" s="68"/>
      <c r="DG187" s="68"/>
      <c r="DH187" s="68"/>
      <c r="DI187" s="68"/>
      <c r="DJ187" s="68"/>
      <c r="DK187" s="68"/>
      <c r="DL187" s="68"/>
      <c r="DM187" s="68"/>
      <c r="DN187" s="68"/>
      <c r="DO187" s="68"/>
      <c r="DP187" s="68"/>
      <c r="DQ187" s="68"/>
      <c r="DR187" s="68"/>
      <c r="DS187" s="68"/>
      <c r="DT187" s="68"/>
      <c r="DU187" s="68"/>
      <c r="DV187" s="68"/>
      <c r="DW187" s="68"/>
      <c r="DX187" s="68"/>
      <c r="DY187" s="68"/>
      <c r="DZ187" s="68"/>
      <c r="EA187" s="68"/>
      <c r="EB187" s="68"/>
      <c r="EC187" s="68"/>
      <c r="ED187" s="68"/>
      <c r="EE187" s="68"/>
      <c r="EF187" s="68"/>
      <c r="EG187" s="68"/>
      <c r="EH187" s="68"/>
      <c r="EI187" s="68"/>
      <c r="EJ187" s="68"/>
      <c r="EK187" s="68"/>
      <c r="EL187" s="68"/>
      <c r="EM187" s="68"/>
      <c r="EN187" s="68"/>
      <c r="EO187" s="68"/>
      <c r="EP187" s="68"/>
      <c r="EQ187" s="68"/>
      <c r="ER187" s="3"/>
      <c r="ES187" s="3"/>
      <c r="EV187" s="350"/>
      <c r="EW187" s="350"/>
      <c r="EX187" s="1"/>
      <c r="EY187" s="1"/>
      <c r="EZ187" s="350"/>
      <c r="FB187" s="1"/>
    </row>
    <row r="188" spans="3:158" ht="20.25" customHeight="1" x14ac:dyDescent="0.25">
      <c r="C188" s="1"/>
      <c r="D188" s="102"/>
      <c r="E188" s="102"/>
      <c r="F188" s="103"/>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113"/>
      <c r="AO188" s="68"/>
      <c r="AP188" s="68"/>
      <c r="AQ188" s="68"/>
      <c r="AR188" s="68"/>
      <c r="AS188" s="68"/>
      <c r="AT188" s="66"/>
      <c r="AU188" s="68"/>
      <c r="AV188" s="68"/>
      <c r="AW188" s="68"/>
      <c r="AX188" s="66"/>
      <c r="AY188" s="68"/>
      <c r="AZ188" s="66"/>
      <c r="BA188" s="68"/>
      <c r="BB188" s="68"/>
      <c r="BC188" s="68"/>
      <c r="BD188" s="68"/>
      <c r="BE188" s="68"/>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8"/>
      <c r="CG188" s="68"/>
      <c r="CH188" s="66"/>
      <c r="CI188" s="66"/>
      <c r="CJ188" s="68"/>
      <c r="CK188" s="68"/>
      <c r="CL188" s="68"/>
      <c r="CM188" s="68"/>
      <c r="CN188" s="66"/>
      <c r="CO188" s="68"/>
      <c r="CP188" s="66"/>
      <c r="CQ188" s="68"/>
      <c r="CR188" s="68"/>
      <c r="CS188" s="68"/>
      <c r="CT188" s="68"/>
      <c r="CU188" s="68"/>
      <c r="CV188" s="68"/>
      <c r="CW188" s="68"/>
      <c r="CX188" s="68"/>
      <c r="CY188" s="68"/>
      <c r="CZ188" s="68"/>
      <c r="DA188" s="68"/>
      <c r="DB188" s="68"/>
      <c r="DC188" s="68"/>
      <c r="DD188" s="68"/>
      <c r="DE188" s="68"/>
      <c r="DF188" s="68"/>
      <c r="DG188" s="68"/>
      <c r="DH188" s="68"/>
      <c r="DI188" s="68"/>
      <c r="DJ188" s="68"/>
      <c r="DK188" s="68"/>
      <c r="DL188" s="68"/>
      <c r="DM188" s="68"/>
      <c r="DN188" s="68"/>
      <c r="DO188" s="68"/>
      <c r="DP188" s="68"/>
      <c r="DQ188" s="68"/>
      <c r="DR188" s="68"/>
      <c r="DS188" s="68"/>
      <c r="DT188" s="68"/>
      <c r="DU188" s="68"/>
      <c r="DV188" s="68"/>
      <c r="DW188" s="68"/>
      <c r="DX188" s="68"/>
      <c r="DY188" s="68"/>
      <c r="DZ188" s="68"/>
      <c r="EA188" s="68"/>
      <c r="EB188" s="68"/>
      <c r="EC188" s="68"/>
      <c r="ED188" s="68"/>
      <c r="EE188" s="68"/>
      <c r="EF188" s="68"/>
      <c r="EG188" s="68"/>
      <c r="EH188" s="68"/>
      <c r="EI188" s="68"/>
      <c r="EJ188" s="68"/>
      <c r="EK188" s="68"/>
      <c r="EL188" s="68"/>
      <c r="EM188" s="68"/>
      <c r="EN188" s="68"/>
      <c r="EO188" s="68"/>
      <c r="EP188" s="68"/>
      <c r="EQ188" s="68"/>
      <c r="ER188" s="3"/>
      <c r="ES188" s="3"/>
      <c r="EV188" s="350"/>
      <c r="EW188" s="350"/>
      <c r="EX188" s="1"/>
      <c r="EY188" s="1"/>
      <c r="EZ188" s="350"/>
      <c r="FB188" s="1"/>
    </row>
    <row r="189" spans="3:158" ht="20.25" customHeight="1" x14ac:dyDescent="0.25">
      <c r="C189" s="1"/>
      <c r="D189" s="102"/>
      <c r="E189" s="102"/>
      <c r="F189" s="103"/>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113"/>
      <c r="AO189" s="68"/>
      <c r="AP189" s="68"/>
      <c r="AQ189" s="68"/>
      <c r="AR189" s="68"/>
      <c r="AS189" s="68"/>
      <c r="AT189" s="66"/>
      <c r="AU189" s="68"/>
      <c r="AV189" s="68"/>
      <c r="AW189" s="68"/>
      <c r="AX189" s="66"/>
      <c r="AY189" s="68"/>
      <c r="AZ189" s="66"/>
      <c r="BA189" s="68"/>
      <c r="BB189" s="68"/>
      <c r="BC189" s="68"/>
      <c r="BD189" s="68"/>
      <c r="BE189" s="68"/>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8"/>
      <c r="CG189" s="68"/>
      <c r="CH189" s="66"/>
      <c r="CI189" s="66"/>
      <c r="CJ189" s="68"/>
      <c r="CK189" s="68"/>
      <c r="CL189" s="68"/>
      <c r="CM189" s="68"/>
      <c r="CN189" s="66"/>
      <c r="CO189" s="68"/>
      <c r="CP189" s="66"/>
      <c r="CQ189" s="68"/>
      <c r="CR189" s="68"/>
      <c r="CS189" s="68"/>
      <c r="CT189" s="68"/>
      <c r="CU189" s="68"/>
      <c r="CV189" s="68"/>
      <c r="CW189" s="68"/>
      <c r="CX189" s="68"/>
      <c r="CY189" s="68"/>
      <c r="CZ189" s="68"/>
      <c r="DA189" s="68"/>
      <c r="DB189" s="68"/>
      <c r="DC189" s="68"/>
      <c r="DD189" s="68"/>
      <c r="DE189" s="68"/>
      <c r="DF189" s="68"/>
      <c r="DG189" s="68"/>
      <c r="DH189" s="68"/>
      <c r="DI189" s="68"/>
      <c r="DJ189" s="68"/>
      <c r="DK189" s="68"/>
      <c r="DL189" s="68"/>
      <c r="DM189" s="68"/>
      <c r="DN189" s="68"/>
      <c r="DO189" s="68"/>
      <c r="DP189" s="68"/>
      <c r="DQ189" s="68"/>
      <c r="DR189" s="68"/>
      <c r="DS189" s="68"/>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3"/>
      <c r="ES189" s="3"/>
      <c r="EV189" s="350"/>
      <c r="EW189" s="350"/>
      <c r="EX189" s="1"/>
      <c r="EY189" s="1"/>
      <c r="EZ189" s="350"/>
      <c r="FB189" s="1"/>
    </row>
    <row r="190" spans="3:158" ht="20.25" customHeight="1" x14ac:dyDescent="0.25">
      <c r="C190" s="1"/>
      <c r="D190" s="102"/>
      <c r="E190" s="102"/>
      <c r="F190" s="103"/>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113"/>
      <c r="AO190" s="68"/>
      <c r="AP190" s="68"/>
      <c r="AQ190" s="68"/>
      <c r="AR190" s="68"/>
      <c r="AS190" s="68"/>
      <c r="AT190" s="66"/>
      <c r="AU190" s="68"/>
      <c r="AV190" s="68"/>
      <c r="AW190" s="68"/>
      <c r="AX190" s="66"/>
      <c r="AY190" s="68"/>
      <c r="AZ190" s="66"/>
      <c r="BA190" s="68"/>
      <c r="BB190" s="68"/>
      <c r="BC190" s="68"/>
      <c r="BD190" s="68"/>
      <c r="BE190" s="68"/>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8"/>
      <c r="CG190" s="68"/>
      <c r="CH190" s="66"/>
      <c r="CI190" s="66"/>
      <c r="CJ190" s="68"/>
      <c r="CK190" s="68"/>
      <c r="CL190" s="68"/>
      <c r="CM190" s="68"/>
      <c r="CN190" s="66"/>
      <c r="CO190" s="68"/>
      <c r="CP190" s="66"/>
      <c r="CQ190" s="68"/>
      <c r="CR190" s="68"/>
      <c r="CS190" s="68"/>
      <c r="CT190" s="68"/>
      <c r="CU190" s="68"/>
      <c r="CV190" s="68"/>
      <c r="CW190" s="68"/>
      <c r="CX190" s="68"/>
      <c r="CY190" s="68"/>
      <c r="CZ190" s="68"/>
      <c r="DA190" s="68"/>
      <c r="DB190" s="68"/>
      <c r="DC190" s="68"/>
      <c r="DD190" s="68"/>
      <c r="DE190" s="68"/>
      <c r="DF190" s="68"/>
      <c r="DG190" s="68"/>
      <c r="DH190" s="68"/>
      <c r="DI190" s="68"/>
      <c r="DJ190" s="68"/>
      <c r="DK190" s="68"/>
      <c r="DL190" s="68"/>
      <c r="DM190" s="68"/>
      <c r="DN190" s="68"/>
      <c r="DO190" s="68"/>
      <c r="DP190" s="68"/>
      <c r="DQ190" s="68"/>
      <c r="DR190" s="68"/>
      <c r="DS190" s="68"/>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3"/>
      <c r="ES190" s="3"/>
      <c r="EV190" s="350"/>
      <c r="EW190" s="350"/>
      <c r="EX190" s="1"/>
      <c r="EY190" s="1"/>
      <c r="EZ190" s="350"/>
      <c r="FB190" s="1"/>
    </row>
    <row r="191" spans="3:158" ht="20.25" customHeight="1" x14ac:dyDescent="0.25">
      <c r="C191" s="1"/>
      <c r="D191" s="102"/>
      <c r="E191" s="102"/>
      <c r="F191" s="103"/>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113"/>
      <c r="AO191" s="68"/>
      <c r="AP191" s="68"/>
      <c r="AQ191" s="68"/>
      <c r="AR191" s="68"/>
      <c r="AS191" s="68"/>
      <c r="AT191" s="66"/>
      <c r="AU191" s="68"/>
      <c r="AV191" s="68"/>
      <c r="AW191" s="68"/>
      <c r="AX191" s="66"/>
      <c r="AY191" s="68"/>
      <c r="AZ191" s="66"/>
      <c r="BA191" s="68"/>
      <c r="BB191" s="68"/>
      <c r="BC191" s="68"/>
      <c r="BD191" s="68"/>
      <c r="BE191" s="68"/>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8"/>
      <c r="CG191" s="68"/>
      <c r="CH191" s="66"/>
      <c r="CI191" s="66"/>
      <c r="CJ191" s="68"/>
      <c r="CK191" s="68"/>
      <c r="CL191" s="68"/>
      <c r="CM191" s="68"/>
      <c r="CN191" s="66"/>
      <c r="CO191" s="68"/>
      <c r="CP191" s="66"/>
      <c r="CQ191" s="68"/>
      <c r="CR191" s="68"/>
      <c r="CS191" s="68"/>
      <c r="CT191" s="68"/>
      <c r="CU191" s="68"/>
      <c r="CV191" s="68"/>
      <c r="CW191" s="68"/>
      <c r="CX191" s="68"/>
      <c r="CY191" s="68"/>
      <c r="CZ191" s="68"/>
      <c r="DA191" s="68"/>
      <c r="DB191" s="68"/>
      <c r="DC191" s="68"/>
      <c r="DD191" s="68"/>
      <c r="DE191" s="68"/>
      <c r="DF191" s="68"/>
      <c r="DG191" s="68"/>
      <c r="DH191" s="68"/>
      <c r="DI191" s="68"/>
      <c r="DJ191" s="68"/>
      <c r="DK191" s="68"/>
      <c r="DL191" s="68"/>
      <c r="DM191" s="68"/>
      <c r="DN191" s="68"/>
      <c r="DO191" s="68"/>
      <c r="DP191" s="68"/>
      <c r="DQ191" s="68"/>
      <c r="DR191" s="68"/>
      <c r="DS191" s="68"/>
      <c r="DT191" s="68"/>
      <c r="DU191" s="68"/>
      <c r="DV191" s="68"/>
      <c r="DW191" s="68"/>
      <c r="DX191" s="68"/>
      <c r="DY191" s="68"/>
      <c r="DZ191" s="68"/>
      <c r="EA191" s="68"/>
      <c r="EB191" s="68"/>
      <c r="EC191" s="68"/>
      <c r="ED191" s="68"/>
      <c r="EE191" s="68"/>
      <c r="EF191" s="68"/>
      <c r="EG191" s="68"/>
      <c r="EH191" s="68"/>
      <c r="EI191" s="68"/>
      <c r="EJ191" s="68"/>
      <c r="EK191" s="68"/>
      <c r="EL191" s="68"/>
      <c r="EM191" s="68"/>
      <c r="EN191" s="68"/>
      <c r="EO191" s="68"/>
      <c r="EP191" s="68"/>
      <c r="EQ191" s="68"/>
      <c r="ER191" s="3"/>
      <c r="ES191" s="3"/>
      <c r="EV191" s="350"/>
      <c r="EW191" s="350"/>
      <c r="EX191" s="1"/>
      <c r="EY191" s="1"/>
      <c r="EZ191" s="350"/>
      <c r="FB191" s="1"/>
    </row>
    <row r="192" spans="3:158" ht="20.25" customHeight="1" x14ac:dyDescent="0.25">
      <c r="C192" s="1"/>
      <c r="D192" s="102"/>
      <c r="E192" s="102"/>
      <c r="F192" s="103"/>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113"/>
      <c r="AO192" s="68"/>
      <c r="AP192" s="68"/>
      <c r="AQ192" s="68"/>
      <c r="AR192" s="68"/>
      <c r="AS192" s="68"/>
      <c r="AT192" s="66"/>
      <c r="AU192" s="68"/>
      <c r="AV192" s="68"/>
      <c r="AW192" s="68"/>
      <c r="AX192" s="66"/>
      <c r="AY192" s="68"/>
      <c r="AZ192" s="66"/>
      <c r="BA192" s="68"/>
      <c r="BB192" s="68"/>
      <c r="BC192" s="68"/>
      <c r="BD192" s="68"/>
      <c r="BE192" s="68"/>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8"/>
      <c r="CG192" s="68"/>
      <c r="CH192" s="66"/>
      <c r="CI192" s="66"/>
      <c r="CJ192" s="68"/>
      <c r="CK192" s="68"/>
      <c r="CL192" s="68"/>
      <c r="CM192" s="68"/>
      <c r="CN192" s="66"/>
      <c r="CO192" s="68"/>
      <c r="CP192" s="66"/>
      <c r="CQ192" s="68"/>
      <c r="CR192" s="68"/>
      <c r="CS192" s="68"/>
      <c r="CT192" s="68"/>
      <c r="CU192" s="68"/>
      <c r="CV192" s="68"/>
      <c r="CW192" s="68"/>
      <c r="CX192" s="68"/>
      <c r="CY192" s="68"/>
      <c r="CZ192" s="68"/>
      <c r="DA192" s="68"/>
      <c r="DB192" s="68"/>
      <c r="DC192" s="68"/>
      <c r="DD192" s="68"/>
      <c r="DE192" s="68"/>
      <c r="DF192" s="68"/>
      <c r="DG192" s="68"/>
      <c r="DH192" s="68"/>
      <c r="DI192" s="68"/>
      <c r="DJ192" s="68"/>
      <c r="DK192" s="68"/>
      <c r="DL192" s="68"/>
      <c r="DM192" s="68"/>
      <c r="DN192" s="68"/>
      <c r="DO192" s="68"/>
      <c r="DP192" s="68"/>
      <c r="DQ192" s="68"/>
      <c r="DR192" s="68"/>
      <c r="DS192" s="68"/>
      <c r="DT192" s="68"/>
      <c r="DU192" s="68"/>
      <c r="DV192" s="68"/>
      <c r="DW192" s="68"/>
      <c r="DX192" s="68"/>
      <c r="DY192" s="68"/>
      <c r="DZ192" s="68"/>
      <c r="EA192" s="68"/>
      <c r="EB192" s="68"/>
      <c r="EC192" s="68"/>
      <c r="ED192" s="68"/>
      <c r="EE192" s="68"/>
      <c r="EF192" s="68"/>
      <c r="EG192" s="68"/>
      <c r="EH192" s="68"/>
      <c r="EI192" s="68"/>
      <c r="EJ192" s="68"/>
      <c r="EK192" s="68"/>
      <c r="EL192" s="68"/>
      <c r="EM192" s="68"/>
      <c r="EN192" s="68"/>
      <c r="EO192" s="68"/>
      <c r="EP192" s="68"/>
      <c r="EQ192" s="68"/>
      <c r="ER192" s="3"/>
      <c r="ES192" s="3"/>
      <c r="EV192" s="350"/>
      <c r="EW192" s="350"/>
      <c r="EX192" s="1"/>
      <c r="EY192" s="1"/>
      <c r="EZ192" s="350"/>
      <c r="FB192" s="1"/>
    </row>
    <row r="193" spans="3:158" ht="20.25" customHeight="1" x14ac:dyDescent="0.25">
      <c r="C193" s="1"/>
      <c r="D193" s="102"/>
      <c r="E193" s="102"/>
      <c r="F193" s="103"/>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113"/>
      <c r="AO193" s="68"/>
      <c r="AP193" s="68"/>
      <c r="AQ193" s="68"/>
      <c r="AR193" s="68"/>
      <c r="AS193" s="68"/>
      <c r="AT193" s="66"/>
      <c r="AU193" s="68"/>
      <c r="AV193" s="68"/>
      <c r="AW193" s="68"/>
      <c r="AX193" s="66"/>
      <c r="AY193" s="68"/>
      <c r="AZ193" s="66"/>
      <c r="BA193" s="68"/>
      <c r="BB193" s="68"/>
      <c r="BC193" s="68"/>
      <c r="BD193" s="68"/>
      <c r="BE193" s="68"/>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8"/>
      <c r="CG193" s="68"/>
      <c r="CH193" s="66"/>
      <c r="CI193" s="66"/>
      <c r="CJ193" s="68"/>
      <c r="CK193" s="68"/>
      <c r="CL193" s="68"/>
      <c r="CM193" s="68"/>
      <c r="CN193" s="66"/>
      <c r="CO193" s="68"/>
      <c r="CP193" s="66"/>
      <c r="CQ193" s="68"/>
      <c r="CR193" s="68"/>
      <c r="CS193" s="68"/>
      <c r="CT193" s="68"/>
      <c r="CU193" s="68"/>
      <c r="CV193" s="68"/>
      <c r="CW193" s="68"/>
      <c r="CX193" s="68"/>
      <c r="CY193" s="68"/>
      <c r="CZ193" s="68"/>
      <c r="DA193" s="68"/>
      <c r="DB193" s="68"/>
      <c r="DC193" s="68"/>
      <c r="DD193" s="68"/>
      <c r="DE193" s="68"/>
      <c r="DF193" s="68"/>
      <c r="DG193" s="68"/>
      <c r="DH193" s="68"/>
      <c r="DI193" s="68"/>
      <c r="DJ193" s="68"/>
      <c r="DK193" s="68"/>
      <c r="DL193" s="68"/>
      <c r="DM193" s="68"/>
      <c r="DN193" s="68"/>
      <c r="DO193" s="68"/>
      <c r="DP193" s="68"/>
      <c r="DQ193" s="68"/>
      <c r="DR193" s="68"/>
      <c r="DS193" s="68"/>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3"/>
      <c r="ES193" s="3"/>
      <c r="EV193" s="350"/>
      <c r="EW193" s="350"/>
      <c r="EX193" s="1"/>
      <c r="EY193" s="1"/>
      <c r="EZ193" s="350"/>
      <c r="FB193" s="1"/>
    </row>
    <row r="194" spans="3:158" ht="20.25" customHeight="1" x14ac:dyDescent="0.25">
      <c r="C194" s="1"/>
      <c r="D194" s="102"/>
      <c r="E194" s="102"/>
      <c r="F194" s="103"/>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113"/>
      <c r="AO194" s="68"/>
      <c r="AP194" s="68"/>
      <c r="AQ194" s="68"/>
      <c r="AR194" s="68"/>
      <c r="AS194" s="68"/>
      <c r="AT194" s="66"/>
      <c r="AU194" s="68"/>
      <c r="AV194" s="68"/>
      <c r="AW194" s="68"/>
      <c r="AX194" s="66"/>
      <c r="AY194" s="68"/>
      <c r="AZ194" s="66"/>
      <c r="BA194" s="68"/>
      <c r="BB194" s="68"/>
      <c r="BC194" s="68"/>
      <c r="BD194" s="68"/>
      <c r="BE194" s="68"/>
      <c r="BF194" s="66"/>
      <c r="BG194" s="66"/>
      <c r="BH194" s="66"/>
      <c r="BI194" s="66"/>
      <c r="BJ194" s="66"/>
      <c r="BK194" s="66"/>
      <c r="BL194" s="66"/>
      <c r="BM194" s="66"/>
      <c r="BN194" s="66"/>
      <c r="BO194" s="66"/>
      <c r="BP194" s="66"/>
      <c r="BQ194" s="66"/>
      <c r="BR194" s="66"/>
      <c r="BS194" s="66"/>
      <c r="BT194" s="66"/>
      <c r="BU194" s="66"/>
      <c r="BV194" s="66"/>
      <c r="BW194" s="66"/>
      <c r="BX194" s="66"/>
      <c r="BY194" s="66"/>
      <c r="BZ194" s="66"/>
      <c r="CA194" s="66"/>
      <c r="CB194" s="66"/>
      <c r="CC194" s="66"/>
      <c r="CD194" s="66"/>
      <c r="CE194" s="66"/>
      <c r="CF194" s="68"/>
      <c r="CG194" s="68"/>
      <c r="CH194" s="66"/>
      <c r="CI194" s="66"/>
      <c r="CJ194" s="68"/>
      <c r="CK194" s="68"/>
      <c r="CL194" s="68"/>
      <c r="CM194" s="68"/>
      <c r="CN194" s="66"/>
      <c r="CO194" s="68"/>
      <c r="CP194" s="66"/>
      <c r="CQ194" s="68"/>
      <c r="CR194" s="68"/>
      <c r="CS194" s="68"/>
      <c r="CT194" s="68"/>
      <c r="CU194" s="68"/>
      <c r="CV194" s="68"/>
      <c r="CW194" s="68"/>
      <c r="CX194" s="68"/>
      <c r="CY194" s="68"/>
      <c r="CZ194" s="68"/>
      <c r="DA194" s="68"/>
      <c r="DB194" s="68"/>
      <c r="DC194" s="68"/>
      <c r="DD194" s="68"/>
      <c r="DE194" s="68"/>
      <c r="DF194" s="68"/>
      <c r="DG194" s="68"/>
      <c r="DH194" s="68"/>
      <c r="DI194" s="68"/>
      <c r="DJ194" s="68"/>
      <c r="DK194" s="68"/>
      <c r="DL194" s="68"/>
      <c r="DM194" s="68"/>
      <c r="DN194" s="68"/>
      <c r="DO194" s="68"/>
      <c r="DP194" s="68"/>
      <c r="DQ194" s="68"/>
      <c r="DR194" s="68"/>
      <c r="DS194" s="68"/>
      <c r="DT194" s="68"/>
      <c r="DU194" s="68"/>
      <c r="DV194" s="68"/>
      <c r="DW194" s="68"/>
      <c r="DX194" s="68"/>
      <c r="DY194" s="68"/>
      <c r="DZ194" s="68"/>
      <c r="EA194" s="68"/>
      <c r="EB194" s="68"/>
      <c r="EC194" s="68"/>
      <c r="ED194" s="68"/>
      <c r="EE194" s="68"/>
      <c r="EF194" s="68"/>
      <c r="EG194" s="68"/>
      <c r="EH194" s="68"/>
      <c r="EI194" s="68"/>
      <c r="EJ194" s="68"/>
      <c r="EK194" s="68"/>
      <c r="EL194" s="68"/>
      <c r="EM194" s="68"/>
      <c r="EN194" s="68"/>
      <c r="EO194" s="68"/>
      <c r="EP194" s="68"/>
      <c r="EQ194" s="68"/>
      <c r="ER194" s="3"/>
      <c r="ES194" s="3"/>
      <c r="EV194" s="350"/>
      <c r="EW194" s="350"/>
      <c r="EX194" s="1"/>
      <c r="EY194" s="1"/>
      <c r="EZ194" s="350"/>
      <c r="FB194" s="1"/>
    </row>
    <row r="195" spans="3:158" ht="20.25" customHeight="1" x14ac:dyDescent="0.25">
      <c r="C195" s="1"/>
      <c r="D195" s="102"/>
      <c r="E195" s="102"/>
      <c r="F195" s="103"/>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113"/>
      <c r="AO195" s="68"/>
      <c r="AP195" s="68"/>
      <c r="AQ195" s="68"/>
      <c r="AR195" s="68"/>
      <c r="AS195" s="68"/>
      <c r="AT195" s="66"/>
      <c r="AU195" s="68"/>
      <c r="AV195" s="68"/>
      <c r="AW195" s="68"/>
      <c r="AX195" s="66"/>
      <c r="AY195" s="68"/>
      <c r="AZ195" s="66"/>
      <c r="BA195" s="68"/>
      <c r="BB195" s="68"/>
      <c r="BC195" s="68"/>
      <c r="BD195" s="68"/>
      <c r="BE195" s="68"/>
      <c r="BF195" s="66"/>
      <c r="BG195" s="66"/>
      <c r="BH195" s="66"/>
      <c r="BI195" s="66"/>
      <c r="BJ195" s="66"/>
      <c r="BK195" s="66"/>
      <c r="BL195" s="66"/>
      <c r="BM195" s="66"/>
      <c r="BN195" s="66"/>
      <c r="BO195" s="66"/>
      <c r="BP195" s="66"/>
      <c r="BQ195" s="66"/>
      <c r="BR195" s="66"/>
      <c r="BS195" s="66"/>
      <c r="BT195" s="66"/>
      <c r="BU195" s="66"/>
      <c r="BV195" s="66"/>
      <c r="BW195" s="66"/>
      <c r="BX195" s="66"/>
      <c r="BY195" s="66"/>
      <c r="BZ195" s="66"/>
      <c r="CA195" s="66"/>
      <c r="CB195" s="66"/>
      <c r="CC195" s="66"/>
      <c r="CD195" s="66"/>
      <c r="CE195" s="66"/>
      <c r="CF195" s="68"/>
      <c r="CG195" s="68"/>
      <c r="CH195" s="66"/>
      <c r="CI195" s="66"/>
      <c r="CJ195" s="68"/>
      <c r="CK195" s="68"/>
      <c r="CL195" s="68"/>
      <c r="CM195" s="68"/>
      <c r="CN195" s="66"/>
      <c r="CO195" s="68"/>
      <c r="CP195" s="66"/>
      <c r="CQ195" s="68"/>
      <c r="CR195" s="68"/>
      <c r="CS195" s="68"/>
      <c r="CT195" s="68"/>
      <c r="CU195" s="68"/>
      <c r="CV195" s="68"/>
      <c r="CW195" s="68"/>
      <c r="CX195" s="68"/>
      <c r="CY195" s="68"/>
      <c r="CZ195" s="68"/>
      <c r="DA195" s="68"/>
      <c r="DB195" s="68"/>
      <c r="DC195" s="68"/>
      <c r="DD195" s="68"/>
      <c r="DE195" s="68"/>
      <c r="DF195" s="68"/>
      <c r="DG195" s="68"/>
      <c r="DH195" s="68"/>
      <c r="DI195" s="68"/>
      <c r="DJ195" s="68"/>
      <c r="DK195" s="68"/>
      <c r="DL195" s="68"/>
      <c r="DM195" s="68"/>
      <c r="DN195" s="68"/>
      <c r="DO195" s="68"/>
      <c r="DP195" s="68"/>
      <c r="DQ195" s="68"/>
      <c r="DR195" s="68"/>
      <c r="DS195" s="68"/>
      <c r="DT195" s="68"/>
      <c r="DU195" s="68"/>
      <c r="DV195" s="68"/>
      <c r="DW195" s="68"/>
      <c r="DX195" s="68"/>
      <c r="DY195" s="68"/>
      <c r="DZ195" s="68"/>
      <c r="EA195" s="68"/>
      <c r="EB195" s="68"/>
      <c r="EC195" s="68"/>
      <c r="ED195" s="68"/>
      <c r="EE195" s="68"/>
      <c r="EF195" s="68"/>
      <c r="EG195" s="68"/>
      <c r="EH195" s="68"/>
      <c r="EI195" s="68"/>
      <c r="EJ195" s="68"/>
      <c r="EK195" s="68"/>
      <c r="EL195" s="68"/>
      <c r="EM195" s="68"/>
      <c r="EN195" s="68"/>
      <c r="EO195" s="68"/>
      <c r="EP195" s="68"/>
      <c r="EQ195" s="68"/>
      <c r="ER195" s="3"/>
      <c r="ES195" s="3"/>
      <c r="EV195" s="350"/>
      <c r="EW195" s="350"/>
      <c r="EX195" s="1"/>
      <c r="EY195" s="1"/>
      <c r="EZ195" s="350"/>
      <c r="FB195" s="1"/>
    </row>
    <row r="196" spans="3:158" ht="20.25" customHeight="1" x14ac:dyDescent="0.25">
      <c r="C196" s="1"/>
      <c r="D196" s="102"/>
      <c r="E196" s="102"/>
      <c r="F196" s="103"/>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113"/>
      <c r="AO196" s="68"/>
      <c r="AP196" s="68"/>
      <c r="AQ196" s="68"/>
      <c r="AR196" s="68"/>
      <c r="AS196" s="68"/>
      <c r="AT196" s="66"/>
      <c r="AU196" s="68"/>
      <c r="AV196" s="68"/>
      <c r="AW196" s="68"/>
      <c r="AX196" s="66"/>
      <c r="AY196" s="68"/>
      <c r="AZ196" s="66"/>
      <c r="BA196" s="68"/>
      <c r="BB196" s="68"/>
      <c r="BC196" s="68"/>
      <c r="BD196" s="68"/>
      <c r="BE196" s="68"/>
      <c r="BF196" s="66"/>
      <c r="BG196" s="66"/>
      <c r="BH196" s="66"/>
      <c r="BI196" s="66"/>
      <c r="BJ196" s="66"/>
      <c r="BK196" s="66"/>
      <c r="BL196" s="66"/>
      <c r="BM196" s="66"/>
      <c r="BN196" s="66"/>
      <c r="BO196" s="66"/>
      <c r="BP196" s="66"/>
      <c r="BQ196" s="66"/>
      <c r="BR196" s="66"/>
      <c r="BS196" s="66"/>
      <c r="BT196" s="66"/>
      <c r="BU196" s="66"/>
      <c r="BV196" s="66"/>
      <c r="BW196" s="66"/>
      <c r="BX196" s="66"/>
      <c r="BY196" s="66"/>
      <c r="BZ196" s="66"/>
      <c r="CA196" s="66"/>
      <c r="CB196" s="66"/>
      <c r="CC196" s="66"/>
      <c r="CD196" s="66"/>
      <c r="CE196" s="66"/>
      <c r="CF196" s="68"/>
      <c r="CG196" s="68"/>
      <c r="CH196" s="66"/>
      <c r="CI196" s="66"/>
      <c r="CJ196" s="68"/>
      <c r="CK196" s="68"/>
      <c r="CL196" s="68"/>
      <c r="CM196" s="68"/>
      <c r="CN196" s="66"/>
      <c r="CO196" s="68"/>
      <c r="CP196" s="66"/>
      <c r="CQ196" s="68"/>
      <c r="CR196" s="68"/>
      <c r="CS196" s="68"/>
      <c r="CT196" s="68"/>
      <c r="CU196" s="68"/>
      <c r="CV196" s="68"/>
      <c r="CW196" s="68"/>
      <c r="CX196" s="68"/>
      <c r="CY196" s="68"/>
      <c r="CZ196" s="68"/>
      <c r="DA196" s="68"/>
      <c r="DB196" s="68"/>
      <c r="DC196" s="68"/>
      <c r="DD196" s="68"/>
      <c r="DE196" s="68"/>
      <c r="DF196" s="68"/>
      <c r="DG196" s="68"/>
      <c r="DH196" s="68"/>
      <c r="DI196" s="68"/>
      <c r="DJ196" s="68"/>
      <c r="DK196" s="68"/>
      <c r="DL196" s="68"/>
      <c r="DM196" s="68"/>
      <c r="DN196" s="68"/>
      <c r="DO196" s="68"/>
      <c r="DP196" s="68"/>
      <c r="DQ196" s="68"/>
      <c r="DR196" s="68"/>
      <c r="DS196" s="68"/>
      <c r="DT196" s="68"/>
      <c r="DU196" s="68"/>
      <c r="DV196" s="68"/>
      <c r="DW196" s="68"/>
      <c r="DX196" s="68"/>
      <c r="DY196" s="68"/>
      <c r="DZ196" s="68"/>
      <c r="EA196" s="68"/>
      <c r="EB196" s="68"/>
      <c r="EC196" s="68"/>
      <c r="ED196" s="68"/>
      <c r="EE196" s="68"/>
      <c r="EF196" s="68"/>
      <c r="EG196" s="68"/>
      <c r="EH196" s="68"/>
      <c r="EI196" s="68"/>
      <c r="EJ196" s="68"/>
      <c r="EK196" s="68"/>
      <c r="EL196" s="68"/>
      <c r="EM196" s="68"/>
      <c r="EN196" s="68"/>
      <c r="EO196" s="68"/>
      <c r="EP196" s="68"/>
      <c r="EQ196" s="68"/>
      <c r="ER196" s="3"/>
      <c r="ES196" s="3"/>
      <c r="EV196" s="350"/>
      <c r="EW196" s="350"/>
      <c r="EX196" s="1"/>
      <c r="EY196" s="1"/>
      <c r="EZ196" s="350"/>
      <c r="FB196" s="1"/>
    </row>
    <row r="197" spans="3:158" ht="20.25" customHeight="1" x14ac:dyDescent="0.25">
      <c r="C197" s="1"/>
      <c r="D197" s="102"/>
      <c r="E197" s="102"/>
      <c r="F197" s="103"/>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113"/>
      <c r="AO197" s="68"/>
      <c r="AP197" s="68"/>
      <c r="AQ197" s="68"/>
      <c r="AR197" s="68"/>
      <c r="AS197" s="68"/>
      <c r="AT197" s="66"/>
      <c r="AU197" s="68"/>
      <c r="AV197" s="68"/>
      <c r="AW197" s="68"/>
      <c r="AX197" s="66"/>
      <c r="AY197" s="68"/>
      <c r="AZ197" s="66"/>
      <c r="BA197" s="68"/>
      <c r="BB197" s="68"/>
      <c r="BC197" s="68"/>
      <c r="BD197" s="68"/>
      <c r="BE197" s="68"/>
      <c r="BF197" s="66"/>
      <c r="BG197" s="66"/>
      <c r="BH197" s="66"/>
      <c r="BI197" s="66"/>
      <c r="BJ197" s="66"/>
      <c r="BK197" s="66"/>
      <c r="BL197" s="66"/>
      <c r="BM197" s="66"/>
      <c r="BN197" s="66"/>
      <c r="BO197" s="66"/>
      <c r="BP197" s="66"/>
      <c r="BQ197" s="66"/>
      <c r="BR197" s="66"/>
      <c r="BS197" s="66"/>
      <c r="BT197" s="66"/>
      <c r="BU197" s="66"/>
      <c r="BV197" s="66"/>
      <c r="BW197" s="66"/>
      <c r="BX197" s="66"/>
      <c r="BY197" s="66"/>
      <c r="BZ197" s="66"/>
      <c r="CA197" s="66"/>
      <c r="CB197" s="66"/>
      <c r="CC197" s="66"/>
      <c r="CD197" s="66"/>
      <c r="CE197" s="66"/>
      <c r="CF197" s="68"/>
      <c r="CG197" s="68"/>
      <c r="CH197" s="66"/>
      <c r="CI197" s="66"/>
      <c r="CJ197" s="68"/>
      <c r="CK197" s="68"/>
      <c r="CL197" s="68"/>
      <c r="CM197" s="68"/>
      <c r="CN197" s="66"/>
      <c r="CO197" s="68"/>
      <c r="CP197" s="66"/>
      <c r="CQ197" s="68"/>
      <c r="CR197" s="68"/>
      <c r="CS197" s="68"/>
      <c r="CT197" s="68"/>
      <c r="CU197" s="68"/>
      <c r="CV197" s="68"/>
      <c r="CW197" s="68"/>
      <c r="CX197" s="68"/>
      <c r="CY197" s="68"/>
      <c r="CZ197" s="68"/>
      <c r="DA197" s="68"/>
      <c r="DB197" s="68"/>
      <c r="DC197" s="68"/>
      <c r="DD197" s="68"/>
      <c r="DE197" s="68"/>
      <c r="DF197" s="68"/>
      <c r="DG197" s="68"/>
      <c r="DH197" s="68"/>
      <c r="DI197" s="68"/>
      <c r="DJ197" s="68"/>
      <c r="DK197" s="68"/>
      <c r="DL197" s="68"/>
      <c r="DM197" s="68"/>
      <c r="DN197" s="68"/>
      <c r="DO197" s="68"/>
      <c r="DP197" s="68"/>
      <c r="DQ197" s="68"/>
      <c r="DR197" s="68"/>
      <c r="DS197" s="68"/>
      <c r="DT197" s="68"/>
      <c r="DU197" s="68"/>
      <c r="DV197" s="68"/>
      <c r="DW197" s="68"/>
      <c r="DX197" s="68"/>
      <c r="DY197" s="68"/>
      <c r="DZ197" s="68"/>
      <c r="EA197" s="68"/>
      <c r="EB197" s="68"/>
      <c r="EC197" s="68"/>
      <c r="ED197" s="68"/>
      <c r="EE197" s="68"/>
      <c r="EF197" s="68"/>
      <c r="EG197" s="68"/>
      <c r="EH197" s="68"/>
      <c r="EI197" s="68"/>
      <c r="EJ197" s="68"/>
      <c r="EK197" s="68"/>
      <c r="EL197" s="68"/>
      <c r="EM197" s="68"/>
      <c r="EN197" s="68"/>
      <c r="EO197" s="68"/>
      <c r="EP197" s="68"/>
      <c r="EQ197" s="68"/>
      <c r="ER197" s="3"/>
      <c r="ES197" s="3"/>
      <c r="EV197" s="350"/>
      <c r="EW197" s="350"/>
      <c r="EX197" s="1"/>
      <c r="EY197" s="1"/>
      <c r="EZ197" s="350"/>
      <c r="FB197" s="1"/>
    </row>
    <row r="198" spans="3:158" ht="20.25" customHeight="1" x14ac:dyDescent="0.25">
      <c r="C198" s="1"/>
      <c r="D198" s="102"/>
      <c r="E198" s="102"/>
      <c r="F198" s="103"/>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113"/>
      <c r="AO198" s="68"/>
      <c r="AP198" s="68"/>
      <c r="AQ198" s="68"/>
      <c r="AR198" s="68"/>
      <c r="AS198" s="68"/>
      <c r="AT198" s="66"/>
      <c r="AU198" s="68"/>
      <c r="AV198" s="68"/>
      <c r="AW198" s="68"/>
      <c r="AX198" s="66"/>
      <c r="AY198" s="68"/>
      <c r="AZ198" s="66"/>
      <c r="BA198" s="68"/>
      <c r="BB198" s="68"/>
      <c r="BC198" s="68"/>
      <c r="BD198" s="68"/>
      <c r="BE198" s="68"/>
      <c r="BF198" s="66"/>
      <c r="BG198" s="66"/>
      <c r="BH198" s="66"/>
      <c r="BI198" s="66"/>
      <c r="BJ198" s="66"/>
      <c r="BK198" s="66"/>
      <c r="BL198" s="66"/>
      <c r="BM198" s="66"/>
      <c r="BN198" s="66"/>
      <c r="BO198" s="66"/>
      <c r="BP198" s="66"/>
      <c r="BQ198" s="66"/>
      <c r="BR198" s="66"/>
      <c r="BS198" s="66"/>
      <c r="BT198" s="66"/>
      <c r="BU198" s="66"/>
      <c r="BV198" s="66"/>
      <c r="BW198" s="66"/>
      <c r="BX198" s="66"/>
      <c r="BY198" s="66"/>
      <c r="BZ198" s="66"/>
      <c r="CA198" s="66"/>
      <c r="CB198" s="66"/>
      <c r="CC198" s="66"/>
      <c r="CD198" s="66"/>
      <c r="CE198" s="66"/>
      <c r="CF198" s="68"/>
      <c r="CG198" s="68"/>
      <c r="CH198" s="66"/>
      <c r="CI198" s="66"/>
      <c r="CJ198" s="68"/>
      <c r="CK198" s="68"/>
      <c r="CL198" s="68"/>
      <c r="CM198" s="68"/>
      <c r="CN198" s="66"/>
      <c r="CO198" s="68"/>
      <c r="CP198" s="66"/>
      <c r="CQ198" s="68"/>
      <c r="CR198" s="68"/>
      <c r="CS198" s="68"/>
      <c r="CT198" s="68"/>
      <c r="CU198" s="68"/>
      <c r="CV198" s="68"/>
      <c r="CW198" s="68"/>
      <c r="CX198" s="68"/>
      <c r="CY198" s="68"/>
      <c r="CZ198" s="68"/>
      <c r="DA198" s="68"/>
      <c r="DB198" s="68"/>
      <c r="DC198" s="68"/>
      <c r="DD198" s="68"/>
      <c r="DE198" s="68"/>
      <c r="DF198" s="68"/>
      <c r="DG198" s="68"/>
      <c r="DH198" s="68"/>
      <c r="DI198" s="68"/>
      <c r="DJ198" s="68"/>
      <c r="DK198" s="68"/>
      <c r="DL198" s="68"/>
      <c r="DM198" s="68"/>
      <c r="DN198" s="68"/>
      <c r="DO198" s="68"/>
      <c r="DP198" s="68"/>
      <c r="DQ198" s="68"/>
      <c r="DR198" s="68"/>
      <c r="DS198" s="68"/>
      <c r="DT198" s="68"/>
      <c r="DU198" s="68"/>
      <c r="DV198" s="68"/>
      <c r="DW198" s="68"/>
      <c r="DX198" s="68"/>
      <c r="DY198" s="68"/>
      <c r="DZ198" s="68"/>
      <c r="EA198" s="68"/>
      <c r="EB198" s="68"/>
      <c r="EC198" s="68"/>
      <c r="ED198" s="68"/>
      <c r="EE198" s="68"/>
      <c r="EF198" s="68"/>
      <c r="EG198" s="68"/>
      <c r="EH198" s="68"/>
      <c r="EI198" s="68"/>
      <c r="EJ198" s="68"/>
      <c r="EK198" s="68"/>
      <c r="EL198" s="68"/>
      <c r="EM198" s="68"/>
      <c r="EN198" s="68"/>
      <c r="EO198" s="68"/>
      <c r="EP198" s="68"/>
      <c r="EQ198" s="68"/>
      <c r="ER198" s="3"/>
      <c r="ES198" s="3"/>
      <c r="EV198" s="350"/>
      <c r="EW198" s="350"/>
      <c r="EX198" s="1"/>
      <c r="EY198" s="1"/>
      <c r="EZ198" s="350"/>
      <c r="FB198" s="1"/>
    </row>
    <row r="199" spans="3:158" ht="20.25" customHeight="1" x14ac:dyDescent="0.25">
      <c r="C199" s="1"/>
      <c r="D199" s="102"/>
      <c r="E199" s="102"/>
      <c r="F199" s="103"/>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113"/>
      <c r="AO199" s="68"/>
      <c r="AP199" s="68"/>
      <c r="AQ199" s="68"/>
      <c r="AR199" s="68"/>
      <c r="AS199" s="68"/>
      <c r="AT199" s="66"/>
      <c r="AU199" s="68"/>
      <c r="AV199" s="68"/>
      <c r="AW199" s="68"/>
      <c r="AX199" s="66"/>
      <c r="AY199" s="68"/>
      <c r="AZ199" s="66"/>
      <c r="BA199" s="68"/>
      <c r="BB199" s="68"/>
      <c r="BC199" s="68"/>
      <c r="BD199" s="68"/>
      <c r="BE199" s="68"/>
      <c r="BF199" s="66"/>
      <c r="BG199" s="66"/>
      <c r="BH199" s="66"/>
      <c r="BI199" s="66"/>
      <c r="BJ199" s="66"/>
      <c r="BK199" s="66"/>
      <c r="BL199" s="66"/>
      <c r="BM199" s="66"/>
      <c r="BN199" s="66"/>
      <c r="BO199" s="66"/>
      <c r="BP199" s="66"/>
      <c r="BQ199" s="66"/>
      <c r="BR199" s="66"/>
      <c r="BS199" s="66"/>
      <c r="BT199" s="66"/>
      <c r="BU199" s="66"/>
      <c r="BV199" s="66"/>
      <c r="BW199" s="66"/>
      <c r="BX199" s="66"/>
      <c r="BY199" s="66"/>
      <c r="BZ199" s="66"/>
      <c r="CA199" s="66"/>
      <c r="CB199" s="66"/>
      <c r="CC199" s="66"/>
      <c r="CD199" s="66"/>
      <c r="CE199" s="66"/>
      <c r="CF199" s="68"/>
      <c r="CG199" s="68"/>
      <c r="CH199" s="66"/>
      <c r="CI199" s="66"/>
      <c r="CJ199" s="68"/>
      <c r="CK199" s="68"/>
      <c r="CL199" s="68"/>
      <c r="CM199" s="68"/>
      <c r="CN199" s="66"/>
      <c r="CO199" s="68"/>
      <c r="CP199" s="66"/>
      <c r="CQ199" s="68"/>
      <c r="CR199" s="68"/>
      <c r="CS199" s="68"/>
      <c r="CT199" s="68"/>
      <c r="CU199" s="68"/>
      <c r="CV199" s="68"/>
      <c r="CW199" s="68"/>
      <c r="CX199" s="68"/>
      <c r="CY199" s="68"/>
      <c r="CZ199" s="68"/>
      <c r="DA199" s="68"/>
      <c r="DB199" s="68"/>
      <c r="DC199" s="68"/>
      <c r="DD199" s="68"/>
      <c r="DE199" s="68"/>
      <c r="DF199" s="68"/>
      <c r="DG199" s="68"/>
      <c r="DH199" s="68"/>
      <c r="DI199" s="68"/>
      <c r="DJ199" s="68"/>
      <c r="DK199" s="68"/>
      <c r="DL199" s="68"/>
      <c r="DM199" s="68"/>
      <c r="DN199" s="68"/>
      <c r="DO199" s="68"/>
      <c r="DP199" s="68"/>
      <c r="DQ199" s="68"/>
      <c r="DR199" s="68"/>
      <c r="DS199" s="68"/>
      <c r="DT199" s="68"/>
      <c r="DU199" s="68"/>
      <c r="DV199" s="68"/>
      <c r="DW199" s="68"/>
      <c r="DX199" s="68"/>
      <c r="DY199" s="68"/>
      <c r="DZ199" s="68"/>
      <c r="EA199" s="68"/>
      <c r="EB199" s="68"/>
      <c r="EC199" s="68"/>
      <c r="ED199" s="68"/>
      <c r="EE199" s="68"/>
      <c r="EF199" s="68"/>
      <c r="EG199" s="68"/>
      <c r="EH199" s="68"/>
      <c r="EI199" s="68"/>
      <c r="EJ199" s="68"/>
      <c r="EK199" s="68"/>
      <c r="EL199" s="68"/>
      <c r="EM199" s="68"/>
      <c r="EN199" s="68"/>
      <c r="EO199" s="68"/>
      <c r="EP199" s="68"/>
      <c r="EQ199" s="68"/>
      <c r="ER199" s="3"/>
      <c r="ES199" s="3"/>
      <c r="EV199" s="350"/>
      <c r="EW199" s="350"/>
      <c r="EX199" s="1"/>
      <c r="EY199" s="1"/>
      <c r="EZ199" s="350"/>
      <c r="FB199" s="1"/>
    </row>
    <row r="200" spans="3:158" ht="20.25" customHeight="1" x14ac:dyDescent="0.25">
      <c r="C200" s="1"/>
      <c r="D200" s="102"/>
      <c r="E200" s="102"/>
      <c r="F200" s="103"/>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113"/>
      <c r="AO200" s="68"/>
      <c r="AP200" s="68"/>
      <c r="AQ200" s="68"/>
      <c r="AR200" s="68"/>
      <c r="AS200" s="68"/>
      <c r="AT200" s="66"/>
      <c r="AU200" s="68"/>
      <c r="AV200" s="68"/>
      <c r="AW200" s="68"/>
      <c r="AX200" s="66"/>
      <c r="AY200" s="68"/>
      <c r="AZ200" s="66"/>
      <c r="BA200" s="68"/>
      <c r="BB200" s="68"/>
      <c r="BC200" s="68"/>
      <c r="BD200" s="68"/>
      <c r="BE200" s="68"/>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8"/>
      <c r="CG200" s="68"/>
      <c r="CH200" s="66"/>
      <c r="CI200" s="66"/>
      <c r="CJ200" s="68"/>
      <c r="CK200" s="68"/>
      <c r="CL200" s="68"/>
      <c r="CM200" s="68"/>
      <c r="CN200" s="66"/>
      <c r="CO200" s="68"/>
      <c r="CP200" s="66"/>
      <c r="CQ200" s="68"/>
      <c r="CR200" s="68"/>
      <c r="CS200" s="68"/>
      <c r="CT200" s="68"/>
      <c r="CU200" s="68"/>
      <c r="CV200" s="68"/>
      <c r="CW200" s="68"/>
      <c r="CX200" s="68"/>
      <c r="CY200" s="68"/>
      <c r="CZ200" s="68"/>
      <c r="DA200" s="68"/>
      <c r="DB200" s="68"/>
      <c r="DC200" s="68"/>
      <c r="DD200" s="68"/>
      <c r="DE200" s="68"/>
      <c r="DF200" s="68"/>
      <c r="DG200" s="68"/>
      <c r="DH200" s="68"/>
      <c r="DI200" s="68"/>
      <c r="DJ200" s="68"/>
      <c r="DK200" s="68"/>
      <c r="DL200" s="68"/>
      <c r="DM200" s="68"/>
      <c r="DN200" s="68"/>
      <c r="DO200" s="68"/>
      <c r="DP200" s="68"/>
      <c r="DQ200" s="68"/>
      <c r="DR200" s="68"/>
      <c r="DS200" s="68"/>
      <c r="DT200" s="68"/>
      <c r="DU200" s="68"/>
      <c r="DV200" s="68"/>
      <c r="DW200" s="68"/>
      <c r="DX200" s="68"/>
      <c r="DY200" s="68"/>
      <c r="DZ200" s="68"/>
      <c r="EA200" s="68"/>
      <c r="EB200" s="68"/>
      <c r="EC200" s="68"/>
      <c r="ED200" s="68"/>
      <c r="EE200" s="68"/>
      <c r="EF200" s="68"/>
      <c r="EG200" s="68"/>
      <c r="EH200" s="68"/>
      <c r="EI200" s="68"/>
      <c r="EJ200" s="68"/>
      <c r="EK200" s="68"/>
      <c r="EL200" s="68"/>
      <c r="EM200" s="68"/>
      <c r="EN200" s="68"/>
      <c r="EO200" s="68"/>
      <c r="EP200" s="68"/>
      <c r="EQ200" s="68"/>
      <c r="ER200" s="3"/>
      <c r="ES200" s="3"/>
      <c r="EV200" s="350"/>
      <c r="EW200" s="350"/>
      <c r="EX200" s="1"/>
      <c r="EY200" s="1"/>
      <c r="EZ200" s="350"/>
      <c r="FB200" s="1"/>
    </row>
    <row r="201" spans="3:158" ht="20.25" customHeight="1" x14ac:dyDescent="0.25">
      <c r="C201" s="1"/>
      <c r="D201" s="102"/>
      <c r="E201" s="102"/>
      <c r="F201" s="103"/>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113"/>
      <c r="AO201" s="68"/>
      <c r="AP201" s="68"/>
      <c r="AQ201" s="68"/>
      <c r="AR201" s="68"/>
      <c r="AS201" s="68"/>
      <c r="AT201" s="66"/>
      <c r="AU201" s="68"/>
      <c r="AV201" s="68"/>
      <c r="AW201" s="68"/>
      <c r="AX201" s="66"/>
      <c r="AY201" s="68"/>
      <c r="AZ201" s="66"/>
      <c r="BA201" s="68"/>
      <c r="BB201" s="68"/>
      <c r="BC201" s="68"/>
      <c r="BD201" s="68"/>
      <c r="BE201" s="68"/>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8"/>
      <c r="CG201" s="68"/>
      <c r="CH201" s="66"/>
      <c r="CI201" s="66"/>
      <c r="CJ201" s="68"/>
      <c r="CK201" s="68"/>
      <c r="CL201" s="68"/>
      <c r="CM201" s="68"/>
      <c r="CN201" s="66"/>
      <c r="CO201" s="68"/>
      <c r="CP201" s="66"/>
      <c r="CQ201" s="68"/>
      <c r="CR201" s="68"/>
      <c r="CS201" s="68"/>
      <c r="CT201" s="68"/>
      <c r="CU201" s="68"/>
      <c r="CV201" s="68"/>
      <c r="CW201" s="68"/>
      <c r="CX201" s="68"/>
      <c r="CY201" s="68"/>
      <c r="CZ201" s="68"/>
      <c r="DA201" s="68"/>
      <c r="DB201" s="68"/>
      <c r="DC201" s="68"/>
      <c r="DD201" s="68"/>
      <c r="DE201" s="68"/>
      <c r="DF201" s="68"/>
      <c r="DG201" s="68"/>
      <c r="DH201" s="68"/>
      <c r="DI201" s="68"/>
      <c r="DJ201" s="68"/>
      <c r="DK201" s="68"/>
      <c r="DL201" s="68"/>
      <c r="DM201" s="68"/>
      <c r="DN201" s="68"/>
      <c r="DO201" s="68"/>
      <c r="DP201" s="68"/>
      <c r="DQ201" s="68"/>
      <c r="DR201" s="68"/>
      <c r="DS201" s="68"/>
      <c r="DT201" s="68"/>
      <c r="DU201" s="68"/>
      <c r="DV201" s="68"/>
      <c r="DW201" s="68"/>
      <c r="DX201" s="68"/>
      <c r="DY201" s="68"/>
      <c r="DZ201" s="68"/>
      <c r="EA201" s="68"/>
      <c r="EB201" s="68"/>
      <c r="EC201" s="68"/>
      <c r="ED201" s="68"/>
      <c r="EE201" s="68"/>
      <c r="EF201" s="68"/>
      <c r="EG201" s="68"/>
      <c r="EH201" s="68"/>
      <c r="EI201" s="68"/>
      <c r="EJ201" s="68"/>
      <c r="EK201" s="68"/>
      <c r="EL201" s="68"/>
      <c r="EM201" s="68"/>
      <c r="EN201" s="68"/>
      <c r="EO201" s="68"/>
      <c r="EP201" s="68"/>
      <c r="EQ201" s="68"/>
      <c r="ER201" s="3"/>
      <c r="ES201" s="3"/>
      <c r="EV201" s="350"/>
      <c r="EW201" s="350"/>
      <c r="EX201" s="1"/>
      <c r="EY201" s="1"/>
      <c r="EZ201" s="350"/>
      <c r="FB201" s="1"/>
    </row>
    <row r="202" spans="3:158" ht="20.25" customHeight="1" x14ac:dyDescent="0.25">
      <c r="C202" s="1"/>
      <c r="D202" s="102"/>
      <c r="E202" s="102"/>
      <c r="F202" s="103"/>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113"/>
      <c r="AO202" s="68"/>
      <c r="AP202" s="68"/>
      <c r="AQ202" s="68"/>
      <c r="AR202" s="68"/>
      <c r="AS202" s="68"/>
      <c r="AT202" s="66"/>
      <c r="AU202" s="68"/>
      <c r="AV202" s="68"/>
      <c r="AW202" s="68"/>
      <c r="AX202" s="66"/>
      <c r="AY202" s="68"/>
      <c r="AZ202" s="66"/>
      <c r="BA202" s="68"/>
      <c r="BB202" s="68"/>
      <c r="BC202" s="68"/>
      <c r="BD202" s="68"/>
      <c r="BE202" s="68"/>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8"/>
      <c r="CG202" s="68"/>
      <c r="CH202" s="66"/>
      <c r="CI202" s="66"/>
      <c r="CJ202" s="68"/>
      <c r="CK202" s="68"/>
      <c r="CL202" s="68"/>
      <c r="CM202" s="68"/>
      <c r="CN202" s="66"/>
      <c r="CO202" s="68"/>
      <c r="CP202" s="66"/>
      <c r="CQ202" s="68"/>
      <c r="CR202" s="68"/>
      <c r="CS202" s="68"/>
      <c r="CT202" s="68"/>
      <c r="CU202" s="68"/>
      <c r="CV202" s="68"/>
      <c r="CW202" s="68"/>
      <c r="CX202" s="68"/>
      <c r="CY202" s="68"/>
      <c r="CZ202" s="68"/>
      <c r="DA202" s="68"/>
      <c r="DB202" s="68"/>
      <c r="DC202" s="68"/>
      <c r="DD202" s="68"/>
      <c r="DE202" s="68"/>
      <c r="DF202" s="68"/>
      <c r="DG202" s="68"/>
      <c r="DH202" s="68"/>
      <c r="DI202" s="68"/>
      <c r="DJ202" s="68"/>
      <c r="DK202" s="68"/>
      <c r="DL202" s="68"/>
      <c r="DM202" s="68"/>
      <c r="DN202" s="68"/>
      <c r="DO202" s="68"/>
      <c r="DP202" s="68"/>
      <c r="DQ202" s="68"/>
      <c r="DR202" s="68"/>
      <c r="DS202" s="68"/>
      <c r="DT202" s="68"/>
      <c r="DU202" s="68"/>
      <c r="DV202" s="68"/>
      <c r="DW202" s="68"/>
      <c r="DX202" s="68"/>
      <c r="DY202" s="68"/>
      <c r="DZ202" s="68"/>
      <c r="EA202" s="68"/>
      <c r="EB202" s="68"/>
      <c r="EC202" s="68"/>
      <c r="ED202" s="68"/>
      <c r="EE202" s="68"/>
      <c r="EF202" s="68"/>
      <c r="EG202" s="68"/>
      <c r="EH202" s="68"/>
      <c r="EI202" s="68"/>
      <c r="EJ202" s="68"/>
      <c r="EK202" s="68"/>
      <c r="EL202" s="68"/>
      <c r="EM202" s="68"/>
      <c r="EN202" s="68"/>
      <c r="EO202" s="68"/>
      <c r="EP202" s="68"/>
      <c r="EQ202" s="68"/>
      <c r="ER202" s="3"/>
      <c r="ES202" s="3"/>
      <c r="EV202" s="350"/>
      <c r="EW202" s="350"/>
      <c r="EX202" s="1"/>
      <c r="EY202" s="1"/>
      <c r="EZ202" s="350"/>
      <c r="FB202" s="1"/>
    </row>
    <row r="203" spans="3:158" ht="20.25" customHeight="1" x14ac:dyDescent="0.25">
      <c r="C203" s="1"/>
      <c r="D203" s="102"/>
      <c r="E203" s="102"/>
      <c r="F203" s="103"/>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113"/>
      <c r="AO203" s="68"/>
      <c r="AP203" s="68"/>
      <c r="AQ203" s="68"/>
      <c r="AR203" s="68"/>
      <c r="AS203" s="68"/>
      <c r="AT203" s="66"/>
      <c r="AU203" s="68"/>
      <c r="AV203" s="68"/>
      <c r="AW203" s="68"/>
      <c r="AX203" s="66"/>
      <c r="AY203" s="68"/>
      <c r="AZ203" s="66"/>
      <c r="BA203" s="68"/>
      <c r="BB203" s="68"/>
      <c r="BC203" s="68"/>
      <c r="BD203" s="68"/>
      <c r="BE203" s="68"/>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8"/>
      <c r="CG203" s="68"/>
      <c r="CH203" s="66"/>
      <c r="CI203" s="66"/>
      <c r="CJ203" s="68"/>
      <c r="CK203" s="68"/>
      <c r="CL203" s="68"/>
      <c r="CM203" s="68"/>
      <c r="CN203" s="66"/>
      <c r="CO203" s="68"/>
      <c r="CP203" s="66"/>
      <c r="CQ203" s="68"/>
      <c r="CR203" s="68"/>
      <c r="CS203" s="68"/>
      <c r="CT203" s="68"/>
      <c r="CU203" s="68"/>
      <c r="CV203" s="68"/>
      <c r="CW203" s="68"/>
      <c r="CX203" s="68"/>
      <c r="CY203" s="68"/>
      <c r="CZ203" s="68"/>
      <c r="DA203" s="68"/>
      <c r="DB203" s="68"/>
      <c r="DC203" s="68"/>
      <c r="DD203" s="68"/>
      <c r="DE203" s="68"/>
      <c r="DF203" s="68"/>
      <c r="DG203" s="68"/>
      <c r="DH203" s="68"/>
      <c r="DI203" s="68"/>
      <c r="DJ203" s="68"/>
      <c r="DK203" s="68"/>
      <c r="DL203" s="68"/>
      <c r="DM203" s="68"/>
      <c r="DN203" s="68"/>
      <c r="DO203" s="68"/>
      <c r="DP203" s="68"/>
      <c r="DQ203" s="68"/>
      <c r="DR203" s="68"/>
      <c r="DS203" s="68"/>
      <c r="DT203" s="68"/>
      <c r="DU203" s="68"/>
      <c r="DV203" s="68"/>
      <c r="DW203" s="68"/>
      <c r="DX203" s="68"/>
      <c r="DY203" s="68"/>
      <c r="DZ203" s="68"/>
      <c r="EA203" s="68"/>
      <c r="EB203" s="68"/>
      <c r="EC203" s="68"/>
      <c r="ED203" s="68"/>
      <c r="EE203" s="68"/>
      <c r="EF203" s="68"/>
      <c r="EG203" s="68"/>
      <c r="EH203" s="68"/>
      <c r="EI203" s="68"/>
      <c r="EJ203" s="68"/>
      <c r="EK203" s="68"/>
      <c r="EL203" s="68"/>
      <c r="EM203" s="68"/>
      <c r="EN203" s="68"/>
      <c r="EO203" s="68"/>
      <c r="EP203" s="68"/>
      <c r="EQ203" s="68"/>
      <c r="ER203" s="3"/>
      <c r="ES203" s="3"/>
      <c r="EV203" s="350"/>
      <c r="EW203" s="350"/>
      <c r="EX203" s="1"/>
      <c r="EY203" s="1"/>
      <c r="EZ203" s="350"/>
      <c r="FB203" s="1"/>
    </row>
    <row r="204" spans="3:158" ht="20.25" customHeight="1" x14ac:dyDescent="0.25">
      <c r="C204" s="1"/>
      <c r="D204" s="102"/>
      <c r="E204" s="102"/>
      <c r="F204" s="103"/>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113"/>
      <c r="AO204" s="68"/>
      <c r="AP204" s="68"/>
      <c r="AQ204" s="68"/>
      <c r="AR204" s="68"/>
      <c r="AS204" s="68"/>
      <c r="AT204" s="66"/>
      <c r="AU204" s="68"/>
      <c r="AV204" s="68"/>
      <c r="AW204" s="68"/>
      <c r="AX204" s="66"/>
      <c r="AY204" s="68"/>
      <c r="AZ204" s="66"/>
      <c r="BA204" s="68"/>
      <c r="BB204" s="68"/>
      <c r="BC204" s="68"/>
      <c r="BD204" s="68"/>
      <c r="BE204" s="68"/>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8"/>
      <c r="CG204" s="68"/>
      <c r="CH204" s="66"/>
      <c r="CI204" s="66"/>
      <c r="CJ204" s="68"/>
      <c r="CK204" s="68"/>
      <c r="CL204" s="68"/>
      <c r="CM204" s="68"/>
      <c r="CN204" s="66"/>
      <c r="CO204" s="68"/>
      <c r="CP204" s="66"/>
      <c r="CQ204" s="68"/>
      <c r="CR204" s="68"/>
      <c r="CS204" s="68"/>
      <c r="CT204" s="68"/>
      <c r="CU204" s="68"/>
      <c r="CV204" s="68"/>
      <c r="CW204" s="68"/>
      <c r="CX204" s="68"/>
      <c r="CY204" s="68"/>
      <c r="CZ204" s="68"/>
      <c r="DA204" s="68"/>
      <c r="DB204" s="68"/>
      <c r="DC204" s="68"/>
      <c r="DD204" s="68"/>
      <c r="DE204" s="68"/>
      <c r="DF204" s="68"/>
      <c r="DG204" s="68"/>
      <c r="DH204" s="68"/>
      <c r="DI204" s="68"/>
      <c r="DJ204" s="68"/>
      <c r="DK204" s="68"/>
      <c r="DL204" s="68"/>
      <c r="DM204" s="68"/>
      <c r="DN204" s="68"/>
      <c r="DO204" s="68"/>
      <c r="DP204" s="68"/>
      <c r="DQ204" s="68"/>
      <c r="DR204" s="68"/>
      <c r="DS204" s="68"/>
      <c r="DT204" s="68"/>
      <c r="DU204" s="68"/>
      <c r="DV204" s="68"/>
      <c r="DW204" s="68"/>
      <c r="DX204" s="68"/>
      <c r="DY204" s="68"/>
      <c r="DZ204" s="68"/>
      <c r="EA204" s="68"/>
      <c r="EB204" s="68"/>
      <c r="EC204" s="68"/>
      <c r="ED204" s="68"/>
      <c r="EE204" s="68"/>
      <c r="EF204" s="68"/>
      <c r="EG204" s="68"/>
      <c r="EH204" s="68"/>
      <c r="EI204" s="68"/>
      <c r="EJ204" s="68"/>
      <c r="EK204" s="68"/>
      <c r="EL204" s="68"/>
      <c r="EM204" s="68"/>
      <c r="EN204" s="68"/>
      <c r="EO204" s="68"/>
      <c r="EP204" s="68"/>
      <c r="EQ204" s="68"/>
      <c r="ER204" s="3"/>
      <c r="ES204" s="3"/>
      <c r="EV204" s="350"/>
      <c r="EW204" s="350"/>
      <c r="EX204" s="1"/>
      <c r="EY204" s="1"/>
      <c r="EZ204" s="350"/>
      <c r="FB204" s="1"/>
    </row>
    <row r="205" spans="3:158" ht="20.25" customHeight="1" x14ac:dyDescent="0.25">
      <c r="C205" s="1"/>
      <c r="D205" s="102"/>
      <c r="E205" s="102"/>
      <c r="F205" s="103"/>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113"/>
      <c r="AO205" s="68"/>
      <c r="AP205" s="68"/>
      <c r="AQ205" s="68"/>
      <c r="AR205" s="68"/>
      <c r="AS205" s="68"/>
      <c r="AT205" s="66"/>
      <c r="AU205" s="68"/>
      <c r="AV205" s="68"/>
      <c r="AW205" s="68"/>
      <c r="AX205" s="66"/>
      <c r="AY205" s="68"/>
      <c r="AZ205" s="66"/>
      <c r="BA205" s="68"/>
      <c r="BB205" s="68"/>
      <c r="BC205" s="68"/>
      <c r="BD205" s="68"/>
      <c r="BE205" s="68"/>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8"/>
      <c r="CG205" s="68"/>
      <c r="CH205" s="66"/>
      <c r="CI205" s="66"/>
      <c r="CJ205" s="68"/>
      <c r="CK205" s="68"/>
      <c r="CL205" s="68"/>
      <c r="CM205" s="68"/>
      <c r="CN205" s="66"/>
      <c r="CO205" s="68"/>
      <c r="CP205" s="66"/>
      <c r="CQ205" s="68"/>
      <c r="CR205" s="68"/>
      <c r="CS205" s="68"/>
      <c r="CT205" s="68"/>
      <c r="CU205" s="68"/>
      <c r="CV205" s="68"/>
      <c r="CW205" s="68"/>
      <c r="CX205" s="68"/>
      <c r="CY205" s="68"/>
      <c r="CZ205" s="68"/>
      <c r="DA205" s="68"/>
      <c r="DB205" s="68"/>
      <c r="DC205" s="68"/>
      <c r="DD205" s="68"/>
      <c r="DE205" s="68"/>
      <c r="DF205" s="68"/>
      <c r="DG205" s="68"/>
      <c r="DH205" s="68"/>
      <c r="DI205" s="68"/>
      <c r="DJ205" s="68"/>
      <c r="DK205" s="68"/>
      <c r="DL205" s="68"/>
      <c r="DM205" s="68"/>
      <c r="DN205" s="68"/>
      <c r="DO205" s="68"/>
      <c r="DP205" s="68"/>
      <c r="DQ205" s="68"/>
      <c r="DR205" s="68"/>
      <c r="DS205" s="68"/>
      <c r="DT205" s="68"/>
      <c r="DU205" s="68"/>
      <c r="DV205" s="68"/>
      <c r="DW205" s="68"/>
      <c r="DX205" s="68"/>
      <c r="DY205" s="68"/>
      <c r="DZ205" s="68"/>
      <c r="EA205" s="68"/>
      <c r="EB205" s="68"/>
      <c r="EC205" s="68"/>
      <c r="ED205" s="68"/>
      <c r="EE205" s="68"/>
      <c r="EF205" s="68"/>
      <c r="EG205" s="68"/>
      <c r="EH205" s="68"/>
      <c r="EI205" s="68"/>
      <c r="EJ205" s="68"/>
      <c r="EK205" s="68"/>
      <c r="EL205" s="68"/>
      <c r="EM205" s="68"/>
      <c r="EN205" s="68"/>
      <c r="EO205" s="68"/>
      <c r="EP205" s="68"/>
      <c r="EQ205" s="68"/>
      <c r="ER205" s="3"/>
      <c r="ES205" s="3"/>
      <c r="EV205" s="350"/>
      <c r="EW205" s="350"/>
      <c r="EX205" s="1"/>
      <c r="EY205" s="1"/>
      <c r="EZ205" s="350"/>
      <c r="FB205" s="1"/>
    </row>
    <row r="206" spans="3:158" ht="20.25" customHeight="1" x14ac:dyDescent="0.25">
      <c r="C206" s="1"/>
      <c r="D206" s="102"/>
      <c r="E206" s="102"/>
      <c r="F206" s="103"/>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113"/>
      <c r="AO206" s="68"/>
      <c r="AP206" s="68"/>
      <c r="AQ206" s="68"/>
      <c r="AR206" s="68"/>
      <c r="AS206" s="68"/>
      <c r="AT206" s="66"/>
      <c r="AU206" s="68"/>
      <c r="AV206" s="68"/>
      <c r="AW206" s="68"/>
      <c r="AX206" s="66"/>
      <c r="AY206" s="68"/>
      <c r="AZ206" s="66"/>
      <c r="BA206" s="68"/>
      <c r="BB206" s="68"/>
      <c r="BC206" s="68"/>
      <c r="BD206" s="68"/>
      <c r="BE206" s="68"/>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8"/>
      <c r="CG206" s="68"/>
      <c r="CH206" s="66"/>
      <c r="CI206" s="66"/>
      <c r="CJ206" s="68"/>
      <c r="CK206" s="68"/>
      <c r="CL206" s="68"/>
      <c r="CM206" s="68"/>
      <c r="CN206" s="66"/>
      <c r="CO206" s="68"/>
      <c r="CP206" s="66"/>
      <c r="CQ206" s="68"/>
      <c r="CR206" s="68"/>
      <c r="CS206" s="68"/>
      <c r="CT206" s="68"/>
      <c r="CU206" s="68"/>
      <c r="CV206" s="68"/>
      <c r="CW206" s="68"/>
      <c r="CX206" s="68"/>
      <c r="CY206" s="68"/>
      <c r="CZ206" s="68"/>
      <c r="DA206" s="68"/>
      <c r="DB206" s="68"/>
      <c r="DC206" s="68"/>
      <c r="DD206" s="68"/>
      <c r="DE206" s="68"/>
      <c r="DF206" s="68"/>
      <c r="DG206" s="68"/>
      <c r="DH206" s="68"/>
      <c r="DI206" s="68"/>
      <c r="DJ206" s="68"/>
      <c r="DK206" s="68"/>
      <c r="DL206" s="68"/>
      <c r="DM206" s="68"/>
      <c r="DN206" s="68"/>
      <c r="DO206" s="68"/>
      <c r="DP206" s="68"/>
      <c r="DQ206" s="68"/>
      <c r="DR206" s="68"/>
      <c r="DS206" s="68"/>
      <c r="DT206" s="68"/>
      <c r="DU206" s="68"/>
      <c r="DV206" s="68"/>
      <c r="DW206" s="68"/>
      <c r="DX206" s="68"/>
      <c r="DY206" s="68"/>
      <c r="DZ206" s="68"/>
      <c r="EA206" s="68"/>
      <c r="EB206" s="68"/>
      <c r="EC206" s="68"/>
      <c r="ED206" s="68"/>
      <c r="EE206" s="68"/>
      <c r="EF206" s="68"/>
      <c r="EG206" s="68"/>
      <c r="EH206" s="68"/>
      <c r="EI206" s="68"/>
      <c r="EJ206" s="68"/>
      <c r="EK206" s="68"/>
      <c r="EL206" s="68"/>
      <c r="EM206" s="68"/>
      <c r="EN206" s="68"/>
      <c r="EO206" s="68"/>
      <c r="EP206" s="68"/>
      <c r="EQ206" s="68"/>
      <c r="ER206" s="3"/>
      <c r="ES206" s="3"/>
      <c r="EV206" s="350"/>
      <c r="EW206" s="350"/>
      <c r="EX206" s="1"/>
      <c r="EY206" s="1"/>
      <c r="EZ206" s="350"/>
      <c r="FB206" s="1"/>
    </row>
    <row r="207" spans="3:158" ht="20.25" customHeight="1" x14ac:dyDescent="0.25">
      <c r="C207" s="1"/>
      <c r="D207" s="102"/>
      <c r="E207" s="102"/>
      <c r="F207" s="103"/>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113"/>
      <c r="AO207" s="68"/>
      <c r="AP207" s="68"/>
      <c r="AQ207" s="68"/>
      <c r="AR207" s="68"/>
      <c r="AS207" s="68"/>
      <c r="AT207" s="66"/>
      <c r="AU207" s="68"/>
      <c r="AV207" s="68"/>
      <c r="AW207" s="68"/>
      <c r="AX207" s="66"/>
      <c r="AY207" s="68"/>
      <c r="AZ207" s="66"/>
      <c r="BA207" s="68"/>
      <c r="BB207" s="68"/>
      <c r="BC207" s="68"/>
      <c r="BD207" s="68"/>
      <c r="BE207" s="68"/>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8"/>
      <c r="CG207" s="68"/>
      <c r="CH207" s="66"/>
      <c r="CI207" s="66"/>
      <c r="CJ207" s="68"/>
      <c r="CK207" s="68"/>
      <c r="CL207" s="68"/>
      <c r="CM207" s="68"/>
      <c r="CN207" s="66"/>
      <c r="CO207" s="68"/>
      <c r="CP207" s="66"/>
      <c r="CQ207" s="68"/>
      <c r="CR207" s="68"/>
      <c r="CS207" s="68"/>
      <c r="CT207" s="68"/>
      <c r="CU207" s="68"/>
      <c r="CV207" s="68"/>
      <c r="CW207" s="68"/>
      <c r="CX207" s="68"/>
      <c r="CY207" s="68"/>
      <c r="CZ207" s="68"/>
      <c r="DA207" s="68"/>
      <c r="DB207" s="68"/>
      <c r="DC207" s="68"/>
      <c r="DD207" s="68"/>
      <c r="DE207" s="68"/>
      <c r="DF207" s="68"/>
      <c r="DG207" s="68"/>
      <c r="DH207" s="68"/>
      <c r="DI207" s="68"/>
      <c r="DJ207" s="68"/>
      <c r="DK207" s="68"/>
      <c r="DL207" s="68"/>
      <c r="DM207" s="68"/>
      <c r="DN207" s="68"/>
      <c r="DO207" s="68"/>
      <c r="DP207" s="68"/>
      <c r="DQ207" s="68"/>
      <c r="DR207" s="68"/>
      <c r="DS207" s="68"/>
      <c r="DT207" s="68"/>
      <c r="DU207" s="68"/>
      <c r="DV207" s="68"/>
      <c r="DW207" s="68"/>
      <c r="DX207" s="68"/>
      <c r="DY207" s="68"/>
      <c r="DZ207" s="68"/>
      <c r="EA207" s="68"/>
      <c r="EB207" s="68"/>
      <c r="EC207" s="68"/>
      <c r="ED207" s="68"/>
      <c r="EE207" s="68"/>
      <c r="EF207" s="68"/>
      <c r="EG207" s="68"/>
      <c r="EH207" s="68"/>
      <c r="EI207" s="68"/>
      <c r="EJ207" s="68"/>
      <c r="EK207" s="68"/>
      <c r="EL207" s="68"/>
      <c r="EM207" s="68"/>
      <c r="EN207" s="68"/>
      <c r="EO207" s="68"/>
      <c r="EP207" s="68"/>
      <c r="EQ207" s="68"/>
      <c r="ER207" s="3"/>
      <c r="ES207" s="3"/>
      <c r="EV207" s="350"/>
      <c r="EW207" s="350"/>
      <c r="EX207" s="1"/>
      <c r="EY207" s="1"/>
      <c r="EZ207" s="350"/>
      <c r="FB207" s="1"/>
    </row>
    <row r="208" spans="3:158" ht="20.25" customHeight="1" x14ac:dyDescent="0.25">
      <c r="C208" s="1"/>
      <c r="D208" s="102"/>
      <c r="E208" s="102"/>
      <c r="F208" s="103"/>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113"/>
      <c r="AO208" s="68"/>
      <c r="AP208" s="68"/>
      <c r="AQ208" s="68"/>
      <c r="AR208" s="68"/>
      <c r="AS208" s="68"/>
      <c r="AT208" s="66"/>
      <c r="AU208" s="68"/>
      <c r="AV208" s="68"/>
      <c r="AW208" s="68"/>
      <c r="AX208" s="66"/>
      <c r="AY208" s="68"/>
      <c r="AZ208" s="66"/>
      <c r="BA208" s="68"/>
      <c r="BB208" s="68"/>
      <c r="BC208" s="68"/>
      <c r="BD208" s="68"/>
      <c r="BE208" s="68"/>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8"/>
      <c r="CG208" s="68"/>
      <c r="CH208" s="66"/>
      <c r="CI208" s="66"/>
      <c r="CJ208" s="68"/>
      <c r="CK208" s="68"/>
      <c r="CL208" s="68"/>
      <c r="CM208" s="68"/>
      <c r="CN208" s="66"/>
      <c r="CO208" s="68"/>
      <c r="CP208" s="66"/>
      <c r="CQ208" s="68"/>
      <c r="CR208" s="68"/>
      <c r="CS208" s="68"/>
      <c r="CT208" s="68"/>
      <c r="CU208" s="68"/>
      <c r="CV208" s="68"/>
      <c r="CW208" s="68"/>
      <c r="CX208" s="68"/>
      <c r="CY208" s="68"/>
      <c r="CZ208" s="68"/>
      <c r="DA208" s="68"/>
      <c r="DB208" s="68"/>
      <c r="DC208" s="68"/>
      <c r="DD208" s="68"/>
      <c r="DE208" s="68"/>
      <c r="DF208" s="68"/>
      <c r="DG208" s="68"/>
      <c r="DH208" s="68"/>
      <c r="DI208" s="68"/>
      <c r="DJ208" s="68"/>
      <c r="DK208" s="68"/>
      <c r="DL208" s="68"/>
      <c r="DM208" s="68"/>
      <c r="DN208" s="68"/>
      <c r="DO208" s="68"/>
      <c r="DP208" s="68"/>
      <c r="DQ208" s="68"/>
      <c r="DR208" s="68"/>
      <c r="DS208" s="68"/>
      <c r="DT208" s="68"/>
      <c r="DU208" s="68"/>
      <c r="DV208" s="68"/>
      <c r="DW208" s="68"/>
      <c r="DX208" s="68"/>
      <c r="DY208" s="68"/>
      <c r="DZ208" s="68"/>
      <c r="EA208" s="68"/>
      <c r="EB208" s="68"/>
      <c r="EC208" s="68"/>
      <c r="ED208" s="68"/>
      <c r="EE208" s="68"/>
      <c r="EF208" s="68"/>
      <c r="EG208" s="68"/>
      <c r="EH208" s="68"/>
      <c r="EI208" s="68"/>
      <c r="EJ208" s="68"/>
      <c r="EK208" s="68"/>
      <c r="EL208" s="68"/>
      <c r="EM208" s="68"/>
      <c r="EN208" s="68"/>
      <c r="EO208" s="68"/>
      <c r="EP208" s="68"/>
      <c r="EQ208" s="68"/>
      <c r="ER208" s="3"/>
      <c r="ES208" s="3"/>
      <c r="EV208" s="350"/>
      <c r="EW208" s="350"/>
      <c r="EX208" s="1"/>
      <c r="EY208" s="1"/>
      <c r="EZ208" s="350"/>
      <c r="FB208" s="1"/>
    </row>
    <row r="209" spans="3:158" ht="20.25" customHeight="1" x14ac:dyDescent="0.25">
      <c r="C209" s="1"/>
      <c r="D209" s="102"/>
      <c r="E209" s="102"/>
      <c r="F209" s="103"/>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113"/>
      <c r="AO209" s="68"/>
      <c r="AP209" s="68"/>
      <c r="AQ209" s="68"/>
      <c r="AR209" s="68"/>
      <c r="AS209" s="68"/>
      <c r="AT209" s="66"/>
      <c r="AU209" s="68"/>
      <c r="AV209" s="68"/>
      <c r="AW209" s="68"/>
      <c r="AX209" s="66"/>
      <c r="AY209" s="68"/>
      <c r="AZ209" s="66"/>
      <c r="BA209" s="68"/>
      <c r="BB209" s="68"/>
      <c r="BC209" s="68"/>
      <c r="BD209" s="68"/>
      <c r="BE209" s="68"/>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8"/>
      <c r="CG209" s="68"/>
      <c r="CH209" s="66"/>
      <c r="CI209" s="66"/>
      <c r="CJ209" s="68"/>
      <c r="CK209" s="68"/>
      <c r="CL209" s="68"/>
      <c r="CM209" s="68"/>
      <c r="CN209" s="66"/>
      <c r="CO209" s="68"/>
      <c r="CP209" s="66"/>
      <c r="CQ209" s="68"/>
      <c r="CR209" s="68"/>
      <c r="CS209" s="68"/>
      <c r="CT209" s="68"/>
      <c r="CU209" s="68"/>
      <c r="CV209" s="68"/>
      <c r="CW209" s="68"/>
      <c r="CX209" s="68"/>
      <c r="CY209" s="68"/>
      <c r="CZ209" s="68"/>
      <c r="DA209" s="68"/>
      <c r="DB209" s="68"/>
      <c r="DC209" s="68"/>
      <c r="DD209" s="68"/>
      <c r="DE209" s="68"/>
      <c r="DF209" s="68"/>
      <c r="DG209" s="68"/>
      <c r="DH209" s="68"/>
      <c r="DI209" s="68"/>
      <c r="DJ209" s="68"/>
      <c r="DK209" s="68"/>
      <c r="DL209" s="68"/>
      <c r="DM209" s="68"/>
      <c r="DN209" s="68"/>
      <c r="DO209" s="68"/>
      <c r="DP209" s="68"/>
      <c r="DQ209" s="68"/>
      <c r="DR209" s="68"/>
      <c r="DS209" s="68"/>
      <c r="DT209" s="68"/>
      <c r="DU209" s="68"/>
      <c r="DV209" s="68"/>
      <c r="DW209" s="68"/>
      <c r="DX209" s="68"/>
      <c r="DY209" s="68"/>
      <c r="DZ209" s="68"/>
      <c r="EA209" s="68"/>
      <c r="EB209" s="68"/>
      <c r="EC209" s="68"/>
      <c r="ED209" s="68"/>
      <c r="EE209" s="68"/>
      <c r="EF209" s="68"/>
      <c r="EG209" s="68"/>
      <c r="EH209" s="68"/>
      <c r="EI209" s="68"/>
      <c r="EJ209" s="68"/>
      <c r="EK209" s="68"/>
      <c r="EL209" s="68"/>
      <c r="EM209" s="68"/>
      <c r="EN209" s="68"/>
      <c r="EO209" s="68"/>
      <c r="EP209" s="68"/>
      <c r="EQ209" s="68"/>
      <c r="ER209" s="3"/>
      <c r="ES209" s="3"/>
      <c r="EV209" s="350"/>
      <c r="EW209" s="350"/>
      <c r="EX209" s="1"/>
      <c r="EY209" s="1"/>
      <c r="EZ209" s="350"/>
      <c r="FB209" s="1"/>
    </row>
    <row r="210" spans="3:158" ht="20.25" customHeight="1" x14ac:dyDescent="0.25">
      <c r="C210" s="1"/>
      <c r="D210" s="102"/>
      <c r="E210" s="102"/>
      <c r="F210" s="103"/>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113"/>
      <c r="AO210" s="68"/>
      <c r="AP210" s="68"/>
      <c r="AQ210" s="68"/>
      <c r="AR210" s="68"/>
      <c r="AS210" s="68"/>
      <c r="AT210" s="66"/>
      <c r="AU210" s="68"/>
      <c r="AV210" s="68"/>
      <c r="AW210" s="68"/>
      <c r="AX210" s="66"/>
      <c r="AY210" s="68"/>
      <c r="AZ210" s="66"/>
      <c r="BA210" s="68"/>
      <c r="BB210" s="68"/>
      <c r="BC210" s="68"/>
      <c r="BD210" s="68"/>
      <c r="BE210" s="68"/>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8"/>
      <c r="CG210" s="68"/>
      <c r="CH210" s="66"/>
      <c r="CI210" s="66"/>
      <c r="CJ210" s="68"/>
      <c r="CK210" s="68"/>
      <c r="CL210" s="68"/>
      <c r="CM210" s="68"/>
      <c r="CN210" s="66"/>
      <c r="CO210" s="68"/>
      <c r="CP210" s="66"/>
      <c r="CQ210" s="68"/>
      <c r="CR210" s="68"/>
      <c r="CS210" s="68"/>
      <c r="CT210" s="68"/>
      <c r="CU210" s="68"/>
      <c r="CV210" s="68"/>
      <c r="CW210" s="68"/>
      <c r="CX210" s="68"/>
      <c r="CY210" s="68"/>
      <c r="CZ210" s="68"/>
      <c r="DA210" s="68"/>
      <c r="DB210" s="68"/>
      <c r="DC210" s="68"/>
      <c r="DD210" s="68"/>
      <c r="DE210" s="68"/>
      <c r="DF210" s="68"/>
      <c r="DG210" s="68"/>
      <c r="DH210" s="68"/>
      <c r="DI210" s="68"/>
      <c r="DJ210" s="68"/>
      <c r="DK210" s="68"/>
      <c r="DL210" s="68"/>
      <c r="DM210" s="68"/>
      <c r="DN210" s="68"/>
      <c r="DO210" s="68"/>
      <c r="DP210" s="68"/>
      <c r="DQ210" s="68"/>
      <c r="DR210" s="68"/>
      <c r="DS210" s="68"/>
      <c r="DT210" s="68"/>
      <c r="DU210" s="68"/>
      <c r="DV210" s="68"/>
      <c r="DW210" s="68"/>
      <c r="DX210" s="68"/>
      <c r="DY210" s="68"/>
      <c r="DZ210" s="68"/>
      <c r="EA210" s="68"/>
      <c r="EB210" s="68"/>
      <c r="EC210" s="68"/>
      <c r="ED210" s="68"/>
      <c r="EE210" s="68"/>
      <c r="EF210" s="68"/>
      <c r="EG210" s="68"/>
      <c r="EH210" s="68"/>
      <c r="EI210" s="68"/>
      <c r="EJ210" s="68"/>
      <c r="EK210" s="68"/>
      <c r="EL210" s="68"/>
      <c r="EM210" s="68"/>
      <c r="EN210" s="68"/>
      <c r="EO210" s="68"/>
      <c r="EP210" s="68"/>
      <c r="EQ210" s="68"/>
      <c r="ER210" s="3"/>
      <c r="ES210" s="3"/>
      <c r="EV210" s="350"/>
      <c r="EW210" s="350"/>
      <c r="EX210" s="1"/>
      <c r="EY210" s="1"/>
      <c r="EZ210" s="350"/>
      <c r="FB210" s="1"/>
    </row>
    <row r="211" spans="3:158" ht="20.25" customHeight="1" x14ac:dyDescent="0.25">
      <c r="C211" s="1"/>
      <c r="D211" s="102"/>
      <c r="E211" s="102"/>
      <c r="F211" s="103"/>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113"/>
      <c r="AO211" s="68"/>
      <c r="AP211" s="68"/>
      <c r="AQ211" s="68"/>
      <c r="AR211" s="68"/>
      <c r="AS211" s="68"/>
      <c r="AT211" s="66"/>
      <c r="AU211" s="68"/>
      <c r="AV211" s="68"/>
      <c r="AW211" s="68"/>
      <c r="AX211" s="66"/>
      <c r="AY211" s="68"/>
      <c r="AZ211" s="66"/>
      <c r="BA211" s="68"/>
      <c r="BB211" s="68"/>
      <c r="BC211" s="68"/>
      <c r="BD211" s="68"/>
      <c r="BE211" s="68"/>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8"/>
      <c r="CG211" s="68"/>
      <c r="CH211" s="66"/>
      <c r="CI211" s="66"/>
      <c r="CJ211" s="68"/>
      <c r="CK211" s="68"/>
      <c r="CL211" s="68"/>
      <c r="CM211" s="68"/>
      <c r="CN211" s="66"/>
      <c r="CO211" s="68"/>
      <c r="CP211" s="66"/>
      <c r="CQ211" s="68"/>
      <c r="CR211" s="68"/>
      <c r="CS211" s="68"/>
      <c r="CT211" s="68"/>
      <c r="CU211" s="68"/>
      <c r="CV211" s="68"/>
      <c r="CW211" s="68"/>
      <c r="CX211" s="68"/>
      <c r="CY211" s="68"/>
      <c r="CZ211" s="68"/>
      <c r="DA211" s="68"/>
      <c r="DB211" s="68"/>
      <c r="DC211" s="68"/>
      <c r="DD211" s="68"/>
      <c r="DE211" s="68"/>
      <c r="DF211" s="68"/>
      <c r="DG211" s="68"/>
      <c r="DH211" s="68"/>
      <c r="DI211" s="68"/>
      <c r="DJ211" s="68"/>
      <c r="DK211" s="68"/>
      <c r="DL211" s="68"/>
      <c r="DM211" s="68"/>
      <c r="DN211" s="68"/>
      <c r="DO211" s="68"/>
      <c r="DP211" s="68"/>
      <c r="DQ211" s="68"/>
      <c r="DR211" s="68"/>
      <c r="DS211" s="68"/>
      <c r="DT211" s="68"/>
      <c r="DU211" s="68"/>
      <c r="DV211" s="68"/>
      <c r="DW211" s="68"/>
      <c r="DX211" s="68"/>
      <c r="DY211" s="68"/>
      <c r="DZ211" s="68"/>
      <c r="EA211" s="68"/>
      <c r="EB211" s="68"/>
      <c r="EC211" s="68"/>
      <c r="ED211" s="68"/>
      <c r="EE211" s="68"/>
      <c r="EF211" s="68"/>
      <c r="EG211" s="68"/>
      <c r="EH211" s="68"/>
      <c r="EI211" s="68"/>
      <c r="EJ211" s="68"/>
      <c r="EK211" s="68"/>
      <c r="EL211" s="68"/>
      <c r="EM211" s="68"/>
      <c r="EN211" s="68"/>
      <c r="EO211" s="68"/>
      <c r="EP211" s="68"/>
      <c r="EQ211" s="68"/>
      <c r="ER211" s="3"/>
      <c r="ES211" s="3"/>
      <c r="EV211" s="350"/>
      <c r="EW211" s="350"/>
      <c r="EX211" s="1"/>
      <c r="EY211" s="1"/>
      <c r="EZ211" s="350"/>
      <c r="FB211" s="1"/>
    </row>
    <row r="212" spans="3:158" ht="20.25" customHeight="1" x14ac:dyDescent="0.25">
      <c r="C212" s="1"/>
      <c r="D212" s="102"/>
      <c r="E212" s="102"/>
      <c r="F212" s="103"/>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113"/>
      <c r="AO212" s="68"/>
      <c r="AP212" s="68"/>
      <c r="AQ212" s="68"/>
      <c r="AR212" s="68"/>
      <c r="AS212" s="68"/>
      <c r="AT212" s="66"/>
      <c r="AU212" s="68"/>
      <c r="AV212" s="68"/>
      <c r="AW212" s="68"/>
      <c r="AX212" s="66"/>
      <c r="AY212" s="68"/>
      <c r="AZ212" s="66"/>
      <c r="BA212" s="68"/>
      <c r="BB212" s="68"/>
      <c r="BC212" s="68"/>
      <c r="BD212" s="68"/>
      <c r="BE212" s="68"/>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8"/>
      <c r="CG212" s="68"/>
      <c r="CH212" s="66"/>
      <c r="CI212" s="66"/>
      <c r="CJ212" s="68"/>
      <c r="CK212" s="68"/>
      <c r="CL212" s="68"/>
      <c r="CM212" s="68"/>
      <c r="CN212" s="66"/>
      <c r="CO212" s="68"/>
      <c r="CP212" s="66"/>
      <c r="CQ212" s="68"/>
      <c r="CR212" s="68"/>
      <c r="CS212" s="68"/>
      <c r="CT212" s="68"/>
      <c r="CU212" s="68"/>
      <c r="CV212" s="68"/>
      <c r="CW212" s="68"/>
      <c r="CX212" s="68"/>
      <c r="CY212" s="68"/>
      <c r="CZ212" s="68"/>
      <c r="DA212" s="68"/>
      <c r="DB212" s="68"/>
      <c r="DC212" s="68"/>
      <c r="DD212" s="68"/>
      <c r="DE212" s="68"/>
      <c r="DF212" s="68"/>
      <c r="DG212" s="68"/>
      <c r="DH212" s="68"/>
      <c r="DI212" s="68"/>
      <c r="DJ212" s="68"/>
      <c r="DK212" s="68"/>
      <c r="DL212" s="68"/>
      <c r="DM212" s="68"/>
      <c r="DN212" s="68"/>
      <c r="DO212" s="68"/>
      <c r="DP212" s="68"/>
      <c r="DQ212" s="68"/>
      <c r="DR212" s="68"/>
      <c r="DS212" s="68"/>
      <c r="DT212" s="68"/>
      <c r="DU212" s="68"/>
      <c r="DV212" s="68"/>
      <c r="DW212" s="68"/>
      <c r="DX212" s="68"/>
      <c r="DY212" s="68"/>
      <c r="DZ212" s="68"/>
      <c r="EA212" s="68"/>
      <c r="EB212" s="68"/>
      <c r="EC212" s="68"/>
      <c r="ED212" s="68"/>
      <c r="EE212" s="68"/>
      <c r="EF212" s="68"/>
      <c r="EG212" s="68"/>
      <c r="EH212" s="68"/>
      <c r="EI212" s="68"/>
      <c r="EJ212" s="68"/>
      <c r="EK212" s="68"/>
      <c r="EL212" s="68"/>
      <c r="EM212" s="68"/>
      <c r="EN212" s="68"/>
      <c r="EO212" s="68"/>
      <c r="EP212" s="68"/>
      <c r="EQ212" s="68"/>
      <c r="ER212" s="3"/>
      <c r="ES212" s="3"/>
      <c r="EV212" s="350"/>
      <c r="EW212" s="350"/>
      <c r="EX212" s="1"/>
      <c r="EY212" s="1"/>
      <c r="EZ212" s="350"/>
      <c r="FB212" s="1"/>
    </row>
    <row r="213" spans="3:158" ht="20.25" customHeight="1" x14ac:dyDescent="0.25">
      <c r="C213" s="1"/>
      <c r="D213" s="102"/>
      <c r="E213" s="102"/>
      <c r="F213" s="103"/>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113"/>
      <c r="AO213" s="68"/>
      <c r="AP213" s="68"/>
      <c r="AQ213" s="68"/>
      <c r="AR213" s="68"/>
      <c r="AS213" s="68"/>
      <c r="AT213" s="66"/>
      <c r="AU213" s="68"/>
      <c r="AV213" s="68"/>
      <c r="AW213" s="68"/>
      <c r="AX213" s="66"/>
      <c r="AY213" s="68"/>
      <c r="AZ213" s="66"/>
      <c r="BA213" s="68"/>
      <c r="BB213" s="68"/>
      <c r="BC213" s="68"/>
      <c r="BD213" s="68"/>
      <c r="BE213" s="68"/>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8"/>
      <c r="CG213" s="68"/>
      <c r="CH213" s="66"/>
      <c r="CI213" s="66"/>
      <c r="CJ213" s="68"/>
      <c r="CK213" s="68"/>
      <c r="CL213" s="68"/>
      <c r="CM213" s="68"/>
      <c r="CN213" s="66"/>
      <c r="CO213" s="68"/>
      <c r="CP213" s="66"/>
      <c r="CQ213" s="68"/>
      <c r="CR213" s="68"/>
      <c r="CS213" s="68"/>
      <c r="CT213" s="68"/>
      <c r="CU213" s="68"/>
      <c r="CV213" s="68"/>
      <c r="CW213" s="68"/>
      <c r="CX213" s="68"/>
      <c r="CY213" s="68"/>
      <c r="CZ213" s="68"/>
      <c r="DA213" s="68"/>
      <c r="DB213" s="68"/>
      <c r="DC213" s="68"/>
      <c r="DD213" s="68"/>
      <c r="DE213" s="68"/>
      <c r="DF213" s="68"/>
      <c r="DG213" s="68"/>
      <c r="DH213" s="68"/>
      <c r="DI213" s="68"/>
      <c r="DJ213" s="68"/>
      <c r="DK213" s="68"/>
      <c r="DL213" s="68"/>
      <c r="DM213" s="68"/>
      <c r="DN213" s="68"/>
      <c r="DO213" s="68"/>
      <c r="DP213" s="68"/>
      <c r="DQ213" s="68"/>
      <c r="DR213" s="68"/>
      <c r="DS213" s="68"/>
      <c r="DT213" s="68"/>
      <c r="DU213" s="68"/>
      <c r="DV213" s="68"/>
      <c r="DW213" s="68"/>
      <c r="DX213" s="68"/>
      <c r="DY213" s="68"/>
      <c r="DZ213" s="68"/>
      <c r="EA213" s="68"/>
      <c r="EB213" s="68"/>
      <c r="EC213" s="68"/>
      <c r="ED213" s="68"/>
      <c r="EE213" s="68"/>
      <c r="EF213" s="68"/>
      <c r="EG213" s="68"/>
      <c r="EH213" s="68"/>
      <c r="EI213" s="68"/>
      <c r="EJ213" s="68"/>
      <c r="EK213" s="68"/>
      <c r="EL213" s="68"/>
      <c r="EM213" s="68"/>
      <c r="EN213" s="68"/>
      <c r="EO213" s="68"/>
      <c r="EP213" s="68"/>
      <c r="EQ213" s="68"/>
      <c r="ER213" s="3"/>
      <c r="ES213" s="3"/>
      <c r="EV213" s="350"/>
      <c r="EW213" s="350"/>
      <c r="EX213" s="1"/>
      <c r="EY213" s="1"/>
      <c r="EZ213" s="350"/>
      <c r="FB213" s="1"/>
    </row>
    <row r="214" spans="3:158" ht="20.25" customHeight="1" x14ac:dyDescent="0.25">
      <c r="C214" s="1"/>
      <c r="D214" s="102"/>
      <c r="E214" s="102"/>
      <c r="F214" s="103"/>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113"/>
      <c r="AO214" s="68"/>
      <c r="AP214" s="68"/>
      <c r="AQ214" s="68"/>
      <c r="AR214" s="68"/>
      <c r="AS214" s="68"/>
      <c r="AT214" s="66"/>
      <c r="AU214" s="68"/>
      <c r="AV214" s="68"/>
      <c r="AW214" s="68"/>
      <c r="AX214" s="66"/>
      <c r="AY214" s="68"/>
      <c r="AZ214" s="66"/>
      <c r="BA214" s="68"/>
      <c r="BB214" s="68"/>
      <c r="BC214" s="68"/>
      <c r="BD214" s="68"/>
      <c r="BE214" s="68"/>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8"/>
      <c r="CG214" s="68"/>
      <c r="CH214" s="66"/>
      <c r="CI214" s="66"/>
      <c r="CJ214" s="68"/>
      <c r="CK214" s="68"/>
      <c r="CL214" s="68"/>
      <c r="CM214" s="68"/>
      <c r="CN214" s="66"/>
      <c r="CO214" s="68"/>
      <c r="CP214" s="66"/>
      <c r="CQ214" s="68"/>
      <c r="CR214" s="68"/>
      <c r="CS214" s="68"/>
      <c r="CT214" s="68"/>
      <c r="CU214" s="68"/>
      <c r="CV214" s="68"/>
      <c r="CW214" s="68"/>
      <c r="CX214" s="68"/>
      <c r="CY214" s="68"/>
      <c r="CZ214" s="68"/>
      <c r="DA214" s="68"/>
      <c r="DB214" s="68"/>
      <c r="DC214" s="68"/>
      <c r="DD214" s="68"/>
      <c r="DE214" s="68"/>
      <c r="DF214" s="68"/>
      <c r="DG214" s="68"/>
      <c r="DH214" s="68"/>
      <c r="DI214" s="68"/>
      <c r="DJ214" s="68"/>
      <c r="DK214" s="68"/>
      <c r="DL214" s="68"/>
      <c r="DM214" s="68"/>
      <c r="DN214" s="68"/>
      <c r="DO214" s="68"/>
      <c r="DP214" s="68"/>
      <c r="DQ214" s="68"/>
      <c r="DR214" s="68"/>
      <c r="DS214" s="68"/>
      <c r="DT214" s="68"/>
      <c r="DU214" s="68"/>
      <c r="DV214" s="68"/>
      <c r="DW214" s="68"/>
      <c r="DX214" s="68"/>
      <c r="DY214" s="68"/>
      <c r="DZ214" s="68"/>
      <c r="EA214" s="68"/>
      <c r="EB214" s="68"/>
      <c r="EC214" s="68"/>
      <c r="ED214" s="68"/>
      <c r="EE214" s="68"/>
      <c r="EF214" s="68"/>
      <c r="EG214" s="68"/>
      <c r="EH214" s="68"/>
      <c r="EI214" s="68"/>
      <c r="EJ214" s="68"/>
      <c r="EK214" s="68"/>
      <c r="EL214" s="68"/>
      <c r="EM214" s="68"/>
      <c r="EN214" s="68"/>
      <c r="EO214" s="68"/>
      <c r="EP214" s="68"/>
      <c r="EQ214" s="68"/>
      <c r="ER214" s="3"/>
      <c r="ES214" s="3"/>
      <c r="EV214" s="350"/>
      <c r="EW214" s="350"/>
      <c r="EX214" s="1"/>
      <c r="EY214" s="1"/>
      <c r="EZ214" s="350"/>
      <c r="FB214" s="1"/>
    </row>
    <row r="215" spans="3:158" ht="20.25" customHeight="1" x14ac:dyDescent="0.25">
      <c r="C215" s="1"/>
      <c r="D215" s="102"/>
      <c r="E215" s="102"/>
      <c r="F215" s="103"/>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113"/>
      <c r="AO215" s="68"/>
      <c r="AP215" s="68"/>
      <c r="AQ215" s="68"/>
      <c r="AR215" s="68"/>
      <c r="AS215" s="68"/>
      <c r="AT215" s="66"/>
      <c r="AU215" s="68"/>
      <c r="AV215" s="68"/>
      <c r="AW215" s="68"/>
      <c r="AX215" s="66"/>
      <c r="AY215" s="68"/>
      <c r="AZ215" s="66"/>
      <c r="BA215" s="68"/>
      <c r="BB215" s="68"/>
      <c r="BC215" s="68"/>
      <c r="BD215" s="68"/>
      <c r="BE215" s="68"/>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8"/>
      <c r="CG215" s="68"/>
      <c r="CH215" s="66"/>
      <c r="CI215" s="66"/>
      <c r="CJ215" s="68"/>
      <c r="CK215" s="68"/>
      <c r="CL215" s="68"/>
      <c r="CM215" s="68"/>
      <c r="CN215" s="66"/>
      <c r="CO215" s="68"/>
      <c r="CP215" s="66"/>
      <c r="CQ215" s="68"/>
      <c r="CR215" s="68"/>
      <c r="CS215" s="68"/>
      <c r="CT215" s="68"/>
      <c r="CU215" s="68"/>
      <c r="CV215" s="68"/>
      <c r="CW215" s="68"/>
      <c r="CX215" s="68"/>
      <c r="CY215" s="68"/>
      <c r="CZ215" s="68"/>
      <c r="DA215" s="68"/>
      <c r="DB215" s="68"/>
      <c r="DC215" s="68"/>
      <c r="DD215" s="68"/>
      <c r="DE215" s="68"/>
      <c r="DF215" s="68"/>
      <c r="DG215" s="68"/>
      <c r="DH215" s="68"/>
      <c r="DI215" s="68"/>
      <c r="DJ215" s="68"/>
      <c r="DK215" s="68"/>
      <c r="DL215" s="68"/>
      <c r="DM215" s="68"/>
      <c r="DN215" s="68"/>
      <c r="DO215" s="68"/>
      <c r="DP215" s="68"/>
      <c r="DQ215" s="68"/>
      <c r="DR215" s="68"/>
      <c r="DS215" s="68"/>
      <c r="DT215" s="68"/>
      <c r="DU215" s="68"/>
      <c r="DV215" s="68"/>
      <c r="DW215" s="68"/>
      <c r="DX215" s="68"/>
      <c r="DY215" s="68"/>
      <c r="DZ215" s="68"/>
      <c r="EA215" s="68"/>
      <c r="EB215" s="68"/>
      <c r="EC215" s="68"/>
      <c r="ED215" s="68"/>
      <c r="EE215" s="68"/>
      <c r="EF215" s="68"/>
      <c r="EG215" s="68"/>
      <c r="EH215" s="68"/>
      <c r="EI215" s="68"/>
      <c r="EJ215" s="68"/>
      <c r="EK215" s="68"/>
      <c r="EL215" s="68"/>
      <c r="EM215" s="68"/>
      <c r="EN215" s="68"/>
      <c r="EO215" s="68"/>
      <c r="EP215" s="68"/>
      <c r="EQ215" s="68"/>
      <c r="ER215" s="3"/>
      <c r="ES215" s="3"/>
      <c r="EV215" s="350"/>
      <c r="EW215" s="350"/>
      <c r="EX215" s="1"/>
      <c r="EY215" s="1"/>
      <c r="EZ215" s="350"/>
      <c r="FB215" s="1"/>
    </row>
    <row r="216" spans="3:158" ht="20.25" customHeight="1" x14ac:dyDescent="0.25">
      <c r="C216" s="1"/>
      <c r="D216" s="102"/>
      <c r="E216" s="102"/>
      <c r="F216" s="103"/>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113"/>
      <c r="AO216" s="68"/>
      <c r="AP216" s="68"/>
      <c r="AQ216" s="68"/>
      <c r="AR216" s="68"/>
      <c r="AS216" s="68"/>
      <c r="AT216" s="66"/>
      <c r="AU216" s="68"/>
      <c r="AV216" s="68"/>
      <c r="AW216" s="68"/>
      <c r="AX216" s="66"/>
      <c r="AY216" s="68"/>
      <c r="AZ216" s="66"/>
      <c r="BA216" s="68"/>
      <c r="BB216" s="68"/>
      <c r="BC216" s="68"/>
      <c r="BD216" s="68"/>
      <c r="BE216" s="68"/>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8"/>
      <c r="CG216" s="68"/>
      <c r="CH216" s="66"/>
      <c r="CI216" s="66"/>
      <c r="CJ216" s="68"/>
      <c r="CK216" s="68"/>
      <c r="CL216" s="68"/>
      <c r="CM216" s="68"/>
      <c r="CN216" s="66"/>
      <c r="CO216" s="68"/>
      <c r="CP216" s="66"/>
      <c r="CQ216" s="68"/>
      <c r="CR216" s="68"/>
      <c r="CS216" s="68"/>
      <c r="CT216" s="68"/>
      <c r="CU216" s="68"/>
      <c r="CV216" s="68"/>
      <c r="CW216" s="68"/>
      <c r="CX216" s="68"/>
      <c r="CY216" s="68"/>
      <c r="CZ216" s="68"/>
      <c r="DA216" s="68"/>
      <c r="DB216" s="68"/>
      <c r="DC216" s="68"/>
      <c r="DD216" s="68"/>
      <c r="DE216" s="68"/>
      <c r="DF216" s="68"/>
      <c r="DG216" s="68"/>
      <c r="DH216" s="68"/>
      <c r="DI216" s="68"/>
      <c r="DJ216" s="68"/>
      <c r="DK216" s="68"/>
      <c r="DL216" s="68"/>
      <c r="DM216" s="68"/>
      <c r="DN216" s="68"/>
      <c r="DO216" s="68"/>
      <c r="DP216" s="68"/>
      <c r="DQ216" s="68"/>
      <c r="DR216" s="68"/>
      <c r="DS216" s="68"/>
      <c r="DT216" s="68"/>
      <c r="DU216" s="68"/>
      <c r="DV216" s="68"/>
      <c r="DW216" s="68"/>
      <c r="DX216" s="68"/>
      <c r="DY216" s="68"/>
      <c r="DZ216" s="68"/>
      <c r="EA216" s="68"/>
      <c r="EB216" s="68"/>
      <c r="EC216" s="68"/>
      <c r="ED216" s="68"/>
      <c r="EE216" s="68"/>
      <c r="EF216" s="68"/>
      <c r="EG216" s="68"/>
      <c r="EH216" s="68"/>
      <c r="EI216" s="68"/>
      <c r="EJ216" s="68"/>
      <c r="EK216" s="68"/>
      <c r="EL216" s="68"/>
      <c r="EM216" s="68"/>
      <c r="EN216" s="68"/>
      <c r="EO216" s="68"/>
      <c r="EP216" s="68"/>
      <c r="EQ216" s="68"/>
      <c r="ER216" s="3"/>
      <c r="ES216" s="3"/>
      <c r="EV216" s="350"/>
      <c r="EW216" s="350"/>
      <c r="EX216" s="1"/>
      <c r="EY216" s="1"/>
      <c r="EZ216" s="350"/>
      <c r="FB216" s="1"/>
    </row>
    <row r="217" spans="3:158" ht="20.25" customHeight="1" x14ac:dyDescent="0.25">
      <c r="C217" s="1"/>
      <c r="D217" s="102"/>
      <c r="E217" s="102"/>
      <c r="F217" s="103"/>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113"/>
      <c r="AO217" s="68"/>
      <c r="AP217" s="68"/>
      <c r="AQ217" s="68"/>
      <c r="AR217" s="68"/>
      <c r="AS217" s="68"/>
      <c r="AT217" s="66"/>
      <c r="AU217" s="68"/>
      <c r="AV217" s="68"/>
      <c r="AW217" s="68"/>
      <c r="AX217" s="66"/>
      <c r="AY217" s="68"/>
      <c r="AZ217" s="66"/>
      <c r="BA217" s="68"/>
      <c r="BB217" s="68"/>
      <c r="BC217" s="68"/>
      <c r="BD217" s="68"/>
      <c r="BE217" s="68"/>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8"/>
      <c r="CG217" s="68"/>
      <c r="CH217" s="66"/>
      <c r="CI217" s="66"/>
      <c r="CJ217" s="68"/>
      <c r="CK217" s="68"/>
      <c r="CL217" s="68"/>
      <c r="CM217" s="68"/>
      <c r="CN217" s="66"/>
      <c r="CO217" s="68"/>
      <c r="CP217" s="66"/>
      <c r="CQ217" s="68"/>
      <c r="CR217" s="68"/>
      <c r="CS217" s="68"/>
      <c r="CT217" s="68"/>
      <c r="CU217" s="68"/>
      <c r="CV217" s="68"/>
      <c r="CW217" s="68"/>
      <c r="CX217" s="68"/>
      <c r="CY217" s="68"/>
      <c r="CZ217" s="68"/>
      <c r="DA217" s="68"/>
      <c r="DB217" s="68"/>
      <c r="DC217" s="68"/>
      <c r="DD217" s="68"/>
      <c r="DE217" s="68"/>
      <c r="DF217" s="68"/>
      <c r="DG217" s="68"/>
      <c r="DH217" s="68"/>
      <c r="DI217" s="68"/>
      <c r="DJ217" s="68"/>
      <c r="DK217" s="68"/>
      <c r="DL217" s="68"/>
      <c r="DM217" s="68"/>
      <c r="DN217" s="68"/>
      <c r="DO217" s="68"/>
      <c r="DP217" s="68"/>
      <c r="DQ217" s="68"/>
      <c r="DR217" s="68"/>
      <c r="DS217" s="68"/>
      <c r="DT217" s="68"/>
      <c r="DU217" s="68"/>
      <c r="DV217" s="68"/>
      <c r="DW217" s="68"/>
      <c r="DX217" s="68"/>
      <c r="DY217" s="68"/>
      <c r="DZ217" s="68"/>
      <c r="EA217" s="68"/>
      <c r="EB217" s="68"/>
      <c r="EC217" s="68"/>
      <c r="ED217" s="68"/>
      <c r="EE217" s="68"/>
      <c r="EF217" s="68"/>
      <c r="EG217" s="68"/>
      <c r="EH217" s="68"/>
      <c r="EI217" s="68"/>
      <c r="EJ217" s="68"/>
      <c r="EK217" s="68"/>
      <c r="EL217" s="68"/>
      <c r="EM217" s="68"/>
      <c r="EN217" s="68"/>
      <c r="EO217" s="68"/>
      <c r="EP217" s="68"/>
      <c r="EQ217" s="68"/>
      <c r="ER217" s="3"/>
      <c r="ES217" s="3"/>
      <c r="EV217" s="350"/>
      <c r="EW217" s="350"/>
      <c r="EX217" s="1"/>
      <c r="EY217" s="1"/>
      <c r="EZ217" s="350"/>
      <c r="FB217" s="1"/>
    </row>
    <row r="218" spans="3:158" ht="20.25" customHeight="1" x14ac:dyDescent="0.25">
      <c r="C218" s="1"/>
      <c r="D218" s="102"/>
      <c r="E218" s="102"/>
      <c r="F218" s="103"/>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113"/>
      <c r="AO218" s="68"/>
      <c r="AP218" s="68"/>
      <c r="AQ218" s="68"/>
      <c r="AR218" s="68"/>
      <c r="AS218" s="68"/>
      <c r="AT218" s="66"/>
      <c r="AU218" s="68"/>
      <c r="AV218" s="68"/>
      <c r="AW218" s="68"/>
      <c r="AX218" s="66"/>
      <c r="AY218" s="68"/>
      <c r="AZ218" s="66"/>
      <c r="BA218" s="68"/>
      <c r="BB218" s="68"/>
      <c r="BC218" s="68"/>
      <c r="BD218" s="68"/>
      <c r="BE218" s="68"/>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8"/>
      <c r="CG218" s="68"/>
      <c r="CH218" s="66"/>
      <c r="CI218" s="66"/>
      <c r="CJ218" s="68"/>
      <c r="CK218" s="68"/>
      <c r="CL218" s="68"/>
      <c r="CM218" s="68"/>
      <c r="CN218" s="66"/>
      <c r="CO218" s="68"/>
      <c r="CP218" s="66"/>
      <c r="CQ218" s="68"/>
      <c r="CR218" s="68"/>
      <c r="CS218" s="68"/>
      <c r="CT218" s="68"/>
      <c r="CU218" s="68"/>
      <c r="CV218" s="68"/>
      <c r="CW218" s="68"/>
      <c r="CX218" s="68"/>
      <c r="CY218" s="68"/>
      <c r="CZ218" s="68"/>
      <c r="DA218" s="68"/>
      <c r="DB218" s="68"/>
      <c r="DC218" s="68"/>
      <c r="DD218" s="68"/>
      <c r="DE218" s="68"/>
      <c r="DF218" s="68"/>
      <c r="DG218" s="68"/>
      <c r="DH218" s="68"/>
      <c r="DI218" s="68"/>
      <c r="DJ218" s="68"/>
      <c r="DK218" s="68"/>
      <c r="DL218" s="68"/>
      <c r="DM218" s="68"/>
      <c r="DN218" s="68"/>
      <c r="DO218" s="68"/>
      <c r="DP218" s="68"/>
      <c r="DQ218" s="68"/>
      <c r="DR218" s="68"/>
      <c r="DS218" s="68"/>
      <c r="DT218" s="68"/>
      <c r="DU218" s="68"/>
      <c r="DV218" s="68"/>
      <c r="DW218" s="68"/>
      <c r="DX218" s="68"/>
      <c r="DY218" s="68"/>
      <c r="DZ218" s="68"/>
      <c r="EA218" s="68"/>
      <c r="EB218" s="68"/>
      <c r="EC218" s="68"/>
      <c r="ED218" s="68"/>
      <c r="EE218" s="68"/>
      <c r="EF218" s="68"/>
      <c r="EG218" s="68"/>
      <c r="EH218" s="68"/>
      <c r="EI218" s="68"/>
      <c r="EJ218" s="68"/>
      <c r="EK218" s="68"/>
      <c r="EL218" s="68"/>
      <c r="EM218" s="68"/>
      <c r="EN218" s="68"/>
      <c r="EO218" s="68"/>
      <c r="EP218" s="68"/>
      <c r="EQ218" s="68"/>
      <c r="ER218" s="3"/>
      <c r="ES218" s="3"/>
      <c r="EV218" s="350"/>
      <c r="EW218" s="350"/>
      <c r="EX218" s="1"/>
      <c r="EY218" s="1"/>
      <c r="EZ218" s="350"/>
      <c r="FB218" s="1"/>
    </row>
    <row r="219" spans="3:158" ht="20.25" customHeight="1" x14ac:dyDescent="0.25">
      <c r="C219" s="1"/>
      <c r="D219" s="102"/>
      <c r="E219" s="102"/>
      <c r="F219" s="103"/>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113"/>
      <c r="AO219" s="68"/>
      <c r="AP219" s="68"/>
      <c r="AQ219" s="68"/>
      <c r="AR219" s="68"/>
      <c r="AS219" s="68"/>
      <c r="AT219" s="66"/>
      <c r="AU219" s="68"/>
      <c r="AV219" s="68"/>
      <c r="AW219" s="68"/>
      <c r="AX219" s="66"/>
      <c r="AY219" s="68"/>
      <c r="AZ219" s="66"/>
      <c r="BA219" s="68"/>
      <c r="BB219" s="68"/>
      <c r="BC219" s="68"/>
      <c r="BD219" s="68"/>
      <c r="BE219" s="68"/>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8"/>
      <c r="CG219" s="68"/>
      <c r="CH219" s="66"/>
      <c r="CI219" s="66"/>
      <c r="CJ219" s="68"/>
      <c r="CK219" s="68"/>
      <c r="CL219" s="68"/>
      <c r="CM219" s="68"/>
      <c r="CN219" s="66"/>
      <c r="CO219" s="68"/>
      <c r="CP219" s="66"/>
      <c r="CQ219" s="68"/>
      <c r="CR219" s="68"/>
      <c r="CS219" s="68"/>
      <c r="CT219" s="68"/>
      <c r="CU219" s="68"/>
      <c r="CV219" s="68"/>
      <c r="CW219" s="68"/>
      <c r="CX219" s="68"/>
      <c r="CY219" s="68"/>
      <c r="CZ219" s="68"/>
      <c r="DA219" s="68"/>
      <c r="DB219" s="68"/>
      <c r="DC219" s="68"/>
      <c r="DD219" s="68"/>
      <c r="DE219" s="68"/>
      <c r="DF219" s="68"/>
      <c r="DG219" s="68"/>
      <c r="DH219" s="68"/>
      <c r="DI219" s="68"/>
      <c r="DJ219" s="68"/>
      <c r="DK219" s="68"/>
      <c r="DL219" s="68"/>
      <c r="DM219" s="68"/>
      <c r="DN219" s="68"/>
      <c r="DO219" s="68"/>
      <c r="DP219" s="68"/>
      <c r="DQ219" s="68"/>
      <c r="DR219" s="68"/>
      <c r="DS219" s="68"/>
      <c r="DT219" s="68"/>
      <c r="DU219" s="68"/>
      <c r="DV219" s="68"/>
      <c r="DW219" s="68"/>
      <c r="DX219" s="68"/>
      <c r="DY219" s="68"/>
      <c r="DZ219" s="68"/>
      <c r="EA219" s="68"/>
      <c r="EB219" s="68"/>
      <c r="EC219" s="68"/>
      <c r="ED219" s="68"/>
      <c r="EE219" s="68"/>
      <c r="EF219" s="68"/>
      <c r="EG219" s="68"/>
      <c r="EH219" s="68"/>
      <c r="EI219" s="68"/>
      <c r="EJ219" s="68"/>
      <c r="EK219" s="68"/>
      <c r="EL219" s="68"/>
      <c r="EM219" s="68"/>
      <c r="EN219" s="68"/>
      <c r="EO219" s="68"/>
      <c r="EP219" s="68"/>
      <c r="EQ219" s="68"/>
      <c r="ER219" s="3"/>
      <c r="ES219" s="3"/>
      <c r="EV219" s="350"/>
      <c r="EW219" s="350"/>
      <c r="EX219" s="1"/>
      <c r="EY219" s="1"/>
      <c r="EZ219" s="350"/>
      <c r="FB219" s="1"/>
    </row>
    <row r="220" spans="3:158" ht="20.25" customHeight="1" x14ac:dyDescent="0.25">
      <c r="C220" s="1"/>
      <c r="D220" s="102"/>
      <c r="E220" s="102"/>
      <c r="F220" s="103"/>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113"/>
      <c r="AO220" s="68"/>
      <c r="AP220" s="68"/>
      <c r="AQ220" s="68"/>
      <c r="AR220" s="68"/>
      <c r="AS220" s="68"/>
      <c r="AT220" s="66"/>
      <c r="AU220" s="68"/>
      <c r="AV220" s="68"/>
      <c r="AW220" s="68"/>
      <c r="AX220" s="66"/>
      <c r="AY220" s="68"/>
      <c r="AZ220" s="66"/>
      <c r="BA220" s="68"/>
      <c r="BB220" s="68"/>
      <c r="BC220" s="68"/>
      <c r="BD220" s="68"/>
      <c r="BE220" s="68"/>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8"/>
      <c r="CG220" s="68"/>
      <c r="CH220" s="66"/>
      <c r="CI220" s="66"/>
      <c r="CJ220" s="68"/>
      <c r="CK220" s="68"/>
      <c r="CL220" s="68"/>
      <c r="CM220" s="68"/>
      <c r="CN220" s="66"/>
      <c r="CO220" s="68"/>
      <c r="CP220" s="66"/>
      <c r="CQ220" s="68"/>
      <c r="CR220" s="68"/>
      <c r="CS220" s="68"/>
      <c r="CT220" s="68"/>
      <c r="CU220" s="68"/>
      <c r="CV220" s="68"/>
      <c r="CW220" s="68"/>
      <c r="CX220" s="68"/>
      <c r="CY220" s="68"/>
      <c r="CZ220" s="68"/>
      <c r="DA220" s="68"/>
      <c r="DB220" s="68"/>
      <c r="DC220" s="68"/>
      <c r="DD220" s="68"/>
      <c r="DE220" s="68"/>
      <c r="DF220" s="68"/>
      <c r="DG220" s="68"/>
      <c r="DH220" s="68"/>
      <c r="DI220" s="68"/>
      <c r="DJ220" s="68"/>
      <c r="DK220" s="68"/>
      <c r="DL220" s="68"/>
      <c r="DM220" s="68"/>
      <c r="DN220" s="68"/>
      <c r="DO220" s="68"/>
      <c r="DP220" s="68"/>
      <c r="DQ220" s="68"/>
      <c r="DR220" s="68"/>
      <c r="DS220" s="68"/>
      <c r="DT220" s="68"/>
      <c r="DU220" s="68"/>
      <c r="DV220" s="68"/>
      <c r="DW220" s="68"/>
      <c r="DX220" s="68"/>
      <c r="DY220" s="68"/>
      <c r="DZ220" s="68"/>
      <c r="EA220" s="68"/>
      <c r="EB220" s="68"/>
      <c r="EC220" s="68"/>
      <c r="ED220" s="68"/>
      <c r="EE220" s="68"/>
      <c r="EF220" s="68"/>
      <c r="EG220" s="68"/>
      <c r="EH220" s="68"/>
      <c r="EI220" s="68"/>
      <c r="EJ220" s="68"/>
      <c r="EK220" s="68"/>
      <c r="EL220" s="68"/>
      <c r="EM220" s="68"/>
      <c r="EN220" s="68"/>
      <c r="EO220" s="68"/>
      <c r="EP220" s="68"/>
      <c r="EQ220" s="68"/>
      <c r="ER220" s="3"/>
      <c r="ES220" s="3"/>
      <c r="EV220" s="350"/>
      <c r="EW220" s="350"/>
      <c r="EX220" s="1"/>
      <c r="EY220" s="1"/>
      <c r="EZ220" s="350"/>
      <c r="FB220" s="1"/>
    </row>
    <row r="221" spans="3:158" ht="20.25" customHeight="1" x14ac:dyDescent="0.25">
      <c r="C221" s="1"/>
      <c r="D221" s="102"/>
      <c r="E221" s="102"/>
      <c r="F221" s="103"/>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113"/>
      <c r="AO221" s="68"/>
      <c r="AP221" s="68"/>
      <c r="AQ221" s="68"/>
      <c r="AR221" s="68"/>
      <c r="AS221" s="68"/>
      <c r="AT221" s="66"/>
      <c r="AU221" s="68"/>
      <c r="AV221" s="68"/>
      <c r="AW221" s="68"/>
      <c r="AX221" s="66"/>
      <c r="AY221" s="68"/>
      <c r="AZ221" s="66"/>
      <c r="BA221" s="68"/>
      <c r="BB221" s="68"/>
      <c r="BC221" s="68"/>
      <c r="BD221" s="68"/>
      <c r="BE221" s="68"/>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8"/>
      <c r="CG221" s="68"/>
      <c r="CH221" s="66"/>
      <c r="CI221" s="66"/>
      <c r="CJ221" s="68"/>
      <c r="CK221" s="68"/>
      <c r="CL221" s="68"/>
      <c r="CM221" s="68"/>
      <c r="CN221" s="66"/>
      <c r="CO221" s="68"/>
      <c r="CP221" s="66"/>
      <c r="CQ221" s="68"/>
      <c r="CR221" s="68"/>
      <c r="CS221" s="68"/>
      <c r="CT221" s="68"/>
      <c r="CU221" s="68"/>
      <c r="CV221" s="68"/>
      <c r="CW221" s="68"/>
      <c r="CX221" s="68"/>
      <c r="CY221" s="68"/>
      <c r="CZ221" s="68"/>
      <c r="DA221" s="68"/>
      <c r="DB221" s="68"/>
      <c r="DC221" s="68"/>
      <c r="DD221" s="68"/>
      <c r="DE221" s="68"/>
      <c r="DF221" s="68"/>
      <c r="DG221" s="68"/>
      <c r="DH221" s="68"/>
      <c r="DI221" s="68"/>
      <c r="DJ221" s="68"/>
      <c r="DK221" s="68"/>
      <c r="DL221" s="68"/>
      <c r="DM221" s="68"/>
      <c r="DN221" s="68"/>
      <c r="DO221" s="68"/>
      <c r="DP221" s="68"/>
      <c r="DQ221" s="68"/>
      <c r="DR221" s="68"/>
      <c r="DS221" s="68"/>
      <c r="DT221" s="68"/>
      <c r="DU221" s="68"/>
      <c r="DV221" s="68"/>
      <c r="DW221" s="68"/>
      <c r="DX221" s="68"/>
      <c r="DY221" s="68"/>
      <c r="DZ221" s="68"/>
      <c r="EA221" s="68"/>
      <c r="EB221" s="68"/>
      <c r="EC221" s="68"/>
      <c r="ED221" s="68"/>
      <c r="EE221" s="68"/>
      <c r="EF221" s="68"/>
      <c r="EG221" s="68"/>
      <c r="EH221" s="68"/>
      <c r="EI221" s="68"/>
      <c r="EJ221" s="68"/>
      <c r="EK221" s="68"/>
      <c r="EL221" s="68"/>
      <c r="EM221" s="68"/>
      <c r="EN221" s="68"/>
      <c r="EO221" s="68"/>
      <c r="EP221" s="68"/>
      <c r="EQ221" s="68"/>
      <c r="ER221" s="3"/>
      <c r="ES221" s="3"/>
      <c r="EV221" s="350"/>
      <c r="EW221" s="350"/>
      <c r="EX221" s="1"/>
      <c r="EY221" s="1"/>
      <c r="EZ221" s="350"/>
      <c r="FB221" s="1"/>
    </row>
    <row r="222" spans="3:158" ht="20.25" customHeight="1" x14ac:dyDescent="0.25">
      <c r="C222" s="1"/>
      <c r="D222" s="102"/>
      <c r="E222" s="102"/>
      <c r="F222" s="103"/>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113"/>
      <c r="AO222" s="68"/>
      <c r="AP222" s="68"/>
      <c r="AQ222" s="68"/>
      <c r="AR222" s="68"/>
      <c r="AS222" s="68"/>
      <c r="AT222" s="66"/>
      <c r="AU222" s="68"/>
      <c r="AV222" s="68"/>
      <c r="AW222" s="68"/>
      <c r="AX222" s="66"/>
      <c r="AY222" s="68"/>
      <c r="AZ222" s="66"/>
      <c r="BA222" s="68"/>
      <c r="BB222" s="68"/>
      <c r="BC222" s="68"/>
      <c r="BD222" s="68"/>
      <c r="BE222" s="68"/>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8"/>
      <c r="CG222" s="68"/>
      <c r="CH222" s="66"/>
      <c r="CI222" s="66"/>
      <c r="CJ222" s="68"/>
      <c r="CK222" s="68"/>
      <c r="CL222" s="68"/>
      <c r="CM222" s="68"/>
      <c r="CN222" s="66"/>
      <c r="CO222" s="68"/>
      <c r="CP222" s="66"/>
      <c r="CQ222" s="68"/>
      <c r="CR222" s="68"/>
      <c r="CS222" s="68"/>
      <c r="CT222" s="68"/>
      <c r="CU222" s="68"/>
      <c r="CV222" s="68"/>
      <c r="CW222" s="68"/>
      <c r="CX222" s="68"/>
      <c r="CY222" s="68"/>
      <c r="CZ222" s="68"/>
      <c r="DA222" s="68"/>
      <c r="DB222" s="68"/>
      <c r="DC222" s="68"/>
      <c r="DD222" s="68"/>
      <c r="DE222" s="68"/>
      <c r="DF222" s="68"/>
      <c r="DG222" s="68"/>
      <c r="DH222" s="68"/>
      <c r="DI222" s="68"/>
      <c r="DJ222" s="68"/>
      <c r="DK222" s="68"/>
      <c r="DL222" s="68"/>
      <c r="DM222" s="68"/>
      <c r="DN222" s="68"/>
      <c r="DO222" s="68"/>
      <c r="DP222" s="68"/>
      <c r="DQ222" s="68"/>
      <c r="DR222" s="68"/>
      <c r="DS222" s="68"/>
      <c r="DT222" s="68"/>
      <c r="DU222" s="68"/>
      <c r="DV222" s="68"/>
      <c r="DW222" s="68"/>
      <c r="DX222" s="68"/>
      <c r="DY222" s="68"/>
      <c r="DZ222" s="68"/>
      <c r="EA222" s="68"/>
      <c r="EB222" s="68"/>
      <c r="EC222" s="68"/>
      <c r="ED222" s="68"/>
      <c r="EE222" s="68"/>
      <c r="EF222" s="68"/>
      <c r="EG222" s="68"/>
      <c r="EH222" s="68"/>
      <c r="EI222" s="68"/>
      <c r="EJ222" s="68"/>
      <c r="EK222" s="68"/>
      <c r="EL222" s="68"/>
      <c r="EM222" s="68"/>
      <c r="EN222" s="68"/>
      <c r="EO222" s="68"/>
      <c r="EP222" s="68"/>
      <c r="EQ222" s="68"/>
      <c r="ER222" s="3"/>
      <c r="ES222" s="3"/>
      <c r="EV222" s="350"/>
      <c r="EW222" s="350"/>
      <c r="EX222" s="1"/>
      <c r="EY222" s="1"/>
      <c r="EZ222" s="350"/>
      <c r="FB222" s="1"/>
    </row>
    <row r="223" spans="3:158" ht="20.25" customHeight="1" x14ac:dyDescent="0.25">
      <c r="C223" s="1"/>
      <c r="D223" s="102"/>
      <c r="E223" s="102"/>
      <c r="F223" s="103"/>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113"/>
      <c r="AO223" s="68"/>
      <c r="AP223" s="68"/>
      <c r="AQ223" s="68"/>
      <c r="AR223" s="68"/>
      <c r="AS223" s="68"/>
      <c r="AT223" s="66"/>
      <c r="AU223" s="68"/>
      <c r="AV223" s="68"/>
      <c r="AW223" s="68"/>
      <c r="AX223" s="66"/>
      <c r="AY223" s="68"/>
      <c r="AZ223" s="66"/>
      <c r="BA223" s="68"/>
      <c r="BB223" s="68"/>
      <c r="BC223" s="68"/>
      <c r="BD223" s="68"/>
      <c r="BE223" s="68"/>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8"/>
      <c r="CG223" s="68"/>
      <c r="CH223" s="66"/>
      <c r="CI223" s="66"/>
      <c r="CJ223" s="68"/>
      <c r="CK223" s="68"/>
      <c r="CL223" s="68"/>
      <c r="CM223" s="68"/>
      <c r="CN223" s="66"/>
      <c r="CO223" s="68"/>
      <c r="CP223" s="66"/>
      <c r="CQ223" s="68"/>
      <c r="CR223" s="68"/>
      <c r="CS223" s="68"/>
      <c r="CT223" s="68"/>
      <c r="CU223" s="68"/>
      <c r="CV223" s="68"/>
      <c r="CW223" s="68"/>
      <c r="CX223" s="68"/>
      <c r="CY223" s="68"/>
      <c r="CZ223" s="68"/>
      <c r="DA223" s="68"/>
      <c r="DB223" s="68"/>
      <c r="DC223" s="68"/>
      <c r="DD223" s="68"/>
      <c r="DE223" s="68"/>
      <c r="DF223" s="68"/>
      <c r="DG223" s="68"/>
      <c r="DH223" s="68"/>
      <c r="DI223" s="68"/>
      <c r="DJ223" s="68"/>
      <c r="DK223" s="68"/>
      <c r="DL223" s="68"/>
      <c r="DM223" s="68"/>
      <c r="DN223" s="68"/>
      <c r="DO223" s="68"/>
      <c r="DP223" s="68"/>
      <c r="DQ223" s="68"/>
      <c r="DR223" s="68"/>
      <c r="DS223" s="68"/>
      <c r="DT223" s="68"/>
      <c r="DU223" s="68"/>
      <c r="DV223" s="68"/>
      <c r="DW223" s="68"/>
      <c r="DX223" s="68"/>
      <c r="DY223" s="68"/>
      <c r="DZ223" s="68"/>
      <c r="EA223" s="68"/>
      <c r="EB223" s="68"/>
      <c r="EC223" s="68"/>
      <c r="ED223" s="68"/>
      <c r="EE223" s="68"/>
      <c r="EF223" s="68"/>
      <c r="EG223" s="68"/>
      <c r="EH223" s="68"/>
      <c r="EI223" s="68"/>
      <c r="EJ223" s="68"/>
      <c r="EK223" s="68"/>
      <c r="EL223" s="68"/>
      <c r="EM223" s="68"/>
      <c r="EN223" s="68"/>
      <c r="EO223" s="68"/>
      <c r="EP223" s="68"/>
      <c r="EQ223" s="68"/>
      <c r="ER223" s="3"/>
      <c r="ES223" s="3"/>
      <c r="EV223" s="350"/>
      <c r="EW223" s="350"/>
      <c r="EX223" s="1"/>
      <c r="EY223" s="1"/>
      <c r="EZ223" s="350"/>
      <c r="FB223" s="1"/>
    </row>
    <row r="224" spans="3:158" ht="20.25" customHeight="1" x14ac:dyDescent="0.25">
      <c r="C224" s="1"/>
      <c r="D224" s="102"/>
      <c r="E224" s="102"/>
      <c r="F224" s="103"/>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113"/>
      <c r="AO224" s="68"/>
      <c r="AP224" s="68"/>
      <c r="AQ224" s="68"/>
      <c r="AR224" s="68"/>
      <c r="AS224" s="68"/>
      <c r="AT224" s="66"/>
      <c r="AU224" s="68"/>
      <c r="AV224" s="68"/>
      <c r="AW224" s="68"/>
      <c r="AX224" s="66"/>
      <c r="AY224" s="68"/>
      <c r="AZ224" s="66"/>
      <c r="BA224" s="68"/>
      <c r="BB224" s="68"/>
      <c r="BC224" s="68"/>
      <c r="BD224" s="68"/>
      <c r="BE224" s="68"/>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8"/>
      <c r="CG224" s="68"/>
      <c r="CH224" s="66"/>
      <c r="CI224" s="66"/>
      <c r="CJ224" s="68"/>
      <c r="CK224" s="68"/>
      <c r="CL224" s="68"/>
      <c r="CM224" s="68"/>
      <c r="CN224" s="66"/>
      <c r="CO224" s="68"/>
      <c r="CP224" s="66"/>
      <c r="CQ224" s="68"/>
      <c r="CR224" s="68"/>
      <c r="CS224" s="68"/>
      <c r="CT224" s="68"/>
      <c r="CU224" s="68"/>
      <c r="CV224" s="68"/>
      <c r="CW224" s="68"/>
      <c r="CX224" s="68"/>
      <c r="CY224" s="68"/>
      <c r="CZ224" s="68"/>
      <c r="DA224" s="68"/>
      <c r="DB224" s="68"/>
      <c r="DC224" s="68"/>
      <c r="DD224" s="68"/>
      <c r="DE224" s="68"/>
      <c r="DF224" s="68"/>
      <c r="DG224" s="68"/>
      <c r="DH224" s="68"/>
      <c r="DI224" s="68"/>
      <c r="DJ224" s="68"/>
      <c r="DK224" s="68"/>
      <c r="DL224" s="68"/>
      <c r="DM224" s="68"/>
      <c r="DN224" s="68"/>
      <c r="DO224" s="68"/>
      <c r="DP224" s="68"/>
      <c r="DQ224" s="68"/>
      <c r="DR224" s="68"/>
      <c r="DS224" s="68"/>
      <c r="DT224" s="68"/>
      <c r="DU224" s="68"/>
      <c r="DV224" s="68"/>
      <c r="DW224" s="68"/>
      <c r="DX224" s="68"/>
      <c r="DY224" s="68"/>
      <c r="DZ224" s="68"/>
      <c r="EA224" s="68"/>
      <c r="EB224" s="68"/>
      <c r="EC224" s="68"/>
      <c r="ED224" s="68"/>
      <c r="EE224" s="68"/>
      <c r="EF224" s="68"/>
      <c r="EG224" s="68"/>
      <c r="EH224" s="68"/>
      <c r="EI224" s="68"/>
      <c r="EJ224" s="68"/>
      <c r="EK224" s="68"/>
      <c r="EL224" s="68"/>
      <c r="EM224" s="68"/>
      <c r="EN224" s="68"/>
      <c r="EO224" s="68"/>
      <c r="EP224" s="68"/>
      <c r="EQ224" s="68"/>
      <c r="ER224" s="3"/>
      <c r="ES224" s="3"/>
      <c r="EV224" s="350"/>
      <c r="EW224" s="350"/>
      <c r="EX224" s="1"/>
      <c r="EY224" s="1"/>
      <c r="EZ224" s="350"/>
      <c r="FB224" s="1"/>
    </row>
    <row r="225" spans="3:158" ht="20.25" customHeight="1" x14ac:dyDescent="0.25">
      <c r="C225" s="1"/>
      <c r="D225" s="102"/>
      <c r="E225" s="102"/>
      <c r="F225" s="103"/>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113"/>
      <c r="AO225" s="68"/>
      <c r="AP225" s="68"/>
      <c r="AQ225" s="68"/>
      <c r="AR225" s="68"/>
      <c r="AS225" s="68"/>
      <c r="AT225" s="66"/>
      <c r="AU225" s="68"/>
      <c r="AV225" s="68"/>
      <c r="AW225" s="68"/>
      <c r="AX225" s="66"/>
      <c r="AY225" s="68"/>
      <c r="AZ225" s="66"/>
      <c r="BA225" s="68"/>
      <c r="BB225" s="68"/>
      <c r="BC225" s="68"/>
      <c r="BD225" s="68"/>
      <c r="BE225" s="68"/>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8"/>
      <c r="CG225" s="68"/>
      <c r="CH225" s="66"/>
      <c r="CI225" s="66"/>
      <c r="CJ225" s="68"/>
      <c r="CK225" s="68"/>
      <c r="CL225" s="68"/>
      <c r="CM225" s="68"/>
      <c r="CN225" s="66"/>
      <c r="CO225" s="68"/>
      <c r="CP225" s="66"/>
      <c r="CQ225" s="68"/>
      <c r="CR225" s="68"/>
      <c r="CS225" s="68"/>
      <c r="CT225" s="68"/>
      <c r="CU225" s="68"/>
      <c r="CV225" s="68"/>
      <c r="CW225" s="68"/>
      <c r="CX225" s="68"/>
      <c r="CY225" s="68"/>
      <c r="CZ225" s="68"/>
      <c r="DA225" s="68"/>
      <c r="DB225" s="68"/>
      <c r="DC225" s="68"/>
      <c r="DD225" s="68"/>
      <c r="DE225" s="68"/>
      <c r="DF225" s="68"/>
      <c r="DG225" s="68"/>
      <c r="DH225" s="68"/>
      <c r="DI225" s="68"/>
      <c r="DJ225" s="68"/>
      <c r="DK225" s="68"/>
      <c r="DL225" s="68"/>
      <c r="DM225" s="68"/>
      <c r="DN225" s="68"/>
      <c r="DO225" s="68"/>
      <c r="DP225" s="68"/>
      <c r="DQ225" s="68"/>
      <c r="DR225" s="68"/>
      <c r="DS225" s="68"/>
      <c r="DT225" s="68"/>
      <c r="DU225" s="68"/>
      <c r="DV225" s="68"/>
      <c r="DW225" s="68"/>
      <c r="DX225" s="68"/>
      <c r="DY225" s="68"/>
      <c r="DZ225" s="68"/>
      <c r="EA225" s="68"/>
      <c r="EB225" s="68"/>
      <c r="EC225" s="68"/>
      <c r="ED225" s="68"/>
      <c r="EE225" s="68"/>
      <c r="EF225" s="68"/>
      <c r="EG225" s="68"/>
      <c r="EH225" s="68"/>
      <c r="EI225" s="68"/>
      <c r="EJ225" s="68"/>
      <c r="EK225" s="68"/>
      <c r="EL225" s="68"/>
      <c r="EM225" s="68"/>
      <c r="EN225" s="68"/>
      <c r="EO225" s="68"/>
      <c r="EP225" s="68"/>
      <c r="EQ225" s="68"/>
      <c r="ER225" s="3"/>
      <c r="ES225" s="3"/>
      <c r="EV225" s="350"/>
      <c r="EW225" s="350"/>
      <c r="EX225" s="1"/>
      <c r="EY225" s="1"/>
      <c r="EZ225" s="350"/>
      <c r="FB225" s="1"/>
    </row>
    <row r="226" spans="3:158" ht="20.25" customHeight="1" x14ac:dyDescent="0.25">
      <c r="C226" s="1"/>
      <c r="D226" s="102"/>
      <c r="E226" s="102"/>
      <c r="F226" s="103"/>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113"/>
      <c r="AO226" s="68"/>
      <c r="AP226" s="68"/>
      <c r="AQ226" s="68"/>
      <c r="AR226" s="68"/>
      <c r="AS226" s="68"/>
      <c r="AT226" s="66"/>
      <c r="AU226" s="68"/>
      <c r="AV226" s="68"/>
      <c r="AW226" s="68"/>
      <c r="AX226" s="66"/>
      <c r="AY226" s="68"/>
      <c r="AZ226" s="66"/>
      <c r="BA226" s="68"/>
      <c r="BB226" s="68"/>
      <c r="BC226" s="68"/>
      <c r="BD226" s="68"/>
      <c r="BE226" s="68"/>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8"/>
      <c r="CG226" s="68"/>
      <c r="CH226" s="66"/>
      <c r="CI226" s="66"/>
      <c r="CJ226" s="68"/>
      <c r="CK226" s="68"/>
      <c r="CL226" s="68"/>
      <c r="CM226" s="68"/>
      <c r="CN226" s="66"/>
      <c r="CO226" s="68"/>
      <c r="CP226" s="66"/>
      <c r="CQ226" s="68"/>
      <c r="CR226" s="68"/>
      <c r="CS226" s="68"/>
      <c r="CT226" s="68"/>
      <c r="CU226" s="68"/>
      <c r="CV226" s="68"/>
      <c r="CW226" s="68"/>
      <c r="CX226" s="68"/>
      <c r="CY226" s="68"/>
      <c r="CZ226" s="68"/>
      <c r="DA226" s="68"/>
      <c r="DB226" s="68"/>
      <c r="DC226" s="68"/>
      <c r="DD226" s="68"/>
      <c r="DE226" s="68"/>
      <c r="DF226" s="68"/>
      <c r="DG226" s="68"/>
      <c r="DH226" s="68"/>
      <c r="DI226" s="68"/>
      <c r="DJ226" s="68"/>
      <c r="DK226" s="68"/>
      <c r="DL226" s="68"/>
      <c r="DM226" s="68"/>
      <c r="DN226" s="68"/>
      <c r="DO226" s="68"/>
      <c r="DP226" s="68"/>
      <c r="DQ226" s="68"/>
      <c r="DR226" s="68"/>
      <c r="DS226" s="68"/>
      <c r="DT226" s="68"/>
      <c r="DU226" s="68"/>
      <c r="DV226" s="68"/>
      <c r="DW226" s="68"/>
      <c r="DX226" s="68"/>
      <c r="DY226" s="68"/>
      <c r="DZ226" s="68"/>
      <c r="EA226" s="68"/>
      <c r="EB226" s="68"/>
      <c r="EC226" s="68"/>
      <c r="ED226" s="68"/>
      <c r="EE226" s="68"/>
      <c r="EF226" s="68"/>
      <c r="EG226" s="68"/>
      <c r="EH226" s="68"/>
      <c r="EI226" s="68"/>
      <c r="EJ226" s="68"/>
      <c r="EK226" s="68"/>
      <c r="EL226" s="68"/>
      <c r="EM226" s="68"/>
      <c r="EN226" s="68"/>
      <c r="EO226" s="68"/>
      <c r="EP226" s="68"/>
      <c r="EQ226" s="68"/>
      <c r="ER226" s="3"/>
      <c r="ES226" s="3"/>
      <c r="EV226" s="350"/>
      <c r="EW226" s="350"/>
      <c r="EX226" s="1"/>
      <c r="EY226" s="1"/>
      <c r="EZ226" s="350"/>
      <c r="FB226" s="1"/>
    </row>
    <row r="227" spans="3:158" ht="20.25" customHeight="1" x14ac:dyDescent="0.25">
      <c r="C227" s="1"/>
      <c r="D227" s="102"/>
      <c r="E227" s="102"/>
      <c r="F227" s="103"/>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113"/>
      <c r="AO227" s="68"/>
      <c r="AP227" s="68"/>
      <c r="AQ227" s="68"/>
      <c r="AR227" s="68"/>
      <c r="AS227" s="68"/>
      <c r="AT227" s="66"/>
      <c r="AU227" s="68"/>
      <c r="AV227" s="68"/>
      <c r="AW227" s="68"/>
      <c r="AX227" s="66"/>
      <c r="AY227" s="68"/>
      <c r="AZ227" s="66"/>
      <c r="BA227" s="68"/>
      <c r="BB227" s="68"/>
      <c r="BC227" s="68"/>
      <c r="BD227" s="68"/>
      <c r="BE227" s="68"/>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8"/>
      <c r="CG227" s="68"/>
      <c r="CH227" s="66"/>
      <c r="CI227" s="66"/>
      <c r="CJ227" s="68"/>
      <c r="CK227" s="68"/>
      <c r="CL227" s="68"/>
      <c r="CM227" s="68"/>
      <c r="CN227" s="66"/>
      <c r="CO227" s="68"/>
      <c r="CP227" s="66"/>
      <c r="CQ227" s="68"/>
      <c r="CR227" s="68"/>
      <c r="CS227" s="68"/>
      <c r="CT227" s="68"/>
      <c r="CU227" s="68"/>
      <c r="CV227" s="68"/>
      <c r="CW227" s="68"/>
      <c r="CX227" s="68"/>
      <c r="CY227" s="68"/>
      <c r="CZ227" s="68"/>
      <c r="DA227" s="68"/>
      <c r="DB227" s="68"/>
      <c r="DC227" s="68"/>
      <c r="DD227" s="68"/>
      <c r="DE227" s="68"/>
      <c r="DF227" s="68"/>
      <c r="DG227" s="68"/>
      <c r="DH227" s="68"/>
      <c r="DI227" s="68"/>
      <c r="DJ227" s="68"/>
      <c r="DK227" s="68"/>
      <c r="DL227" s="68"/>
      <c r="DM227" s="68"/>
      <c r="DN227" s="68"/>
      <c r="DO227" s="68"/>
      <c r="DP227" s="68"/>
      <c r="DQ227" s="68"/>
      <c r="DR227" s="68"/>
      <c r="DS227" s="68"/>
      <c r="DT227" s="68"/>
      <c r="DU227" s="68"/>
      <c r="DV227" s="68"/>
      <c r="DW227" s="68"/>
      <c r="DX227" s="68"/>
      <c r="DY227" s="68"/>
      <c r="DZ227" s="68"/>
      <c r="EA227" s="68"/>
      <c r="EB227" s="68"/>
      <c r="EC227" s="68"/>
      <c r="ED227" s="68"/>
      <c r="EE227" s="68"/>
      <c r="EF227" s="68"/>
      <c r="EG227" s="68"/>
      <c r="EH227" s="68"/>
      <c r="EI227" s="68"/>
      <c r="EJ227" s="68"/>
      <c r="EK227" s="68"/>
      <c r="EL227" s="68"/>
      <c r="EM227" s="68"/>
      <c r="EN227" s="68"/>
      <c r="EO227" s="68"/>
      <c r="EP227" s="68"/>
      <c r="EQ227" s="68"/>
      <c r="ER227" s="3"/>
      <c r="ES227" s="3"/>
      <c r="EV227" s="350"/>
      <c r="EW227" s="350"/>
      <c r="EX227" s="1"/>
      <c r="EY227" s="1"/>
      <c r="EZ227" s="350"/>
      <c r="FB227" s="1"/>
    </row>
    <row r="228" spans="3:158" ht="20.25" customHeight="1" x14ac:dyDescent="0.25">
      <c r="C228" s="1"/>
      <c r="D228" s="102"/>
      <c r="E228" s="102"/>
      <c r="F228" s="103"/>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113"/>
      <c r="AO228" s="68"/>
      <c r="AP228" s="68"/>
      <c r="AQ228" s="68"/>
      <c r="AR228" s="68"/>
      <c r="AS228" s="68"/>
      <c r="AT228" s="66"/>
      <c r="AU228" s="68"/>
      <c r="AV228" s="68"/>
      <c r="AW228" s="68"/>
      <c r="AX228" s="66"/>
      <c r="AY228" s="68"/>
      <c r="AZ228" s="66"/>
      <c r="BA228" s="68"/>
      <c r="BB228" s="68"/>
      <c r="BC228" s="68"/>
      <c r="BD228" s="68"/>
      <c r="BE228" s="68"/>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8"/>
      <c r="CG228" s="68"/>
      <c r="CH228" s="66"/>
      <c r="CI228" s="66"/>
      <c r="CJ228" s="68"/>
      <c r="CK228" s="68"/>
      <c r="CL228" s="68"/>
      <c r="CM228" s="68"/>
      <c r="CN228" s="66"/>
      <c r="CO228" s="68"/>
      <c r="CP228" s="66"/>
      <c r="CQ228" s="68"/>
      <c r="CR228" s="68"/>
      <c r="CS228" s="68"/>
      <c r="CT228" s="68"/>
      <c r="CU228" s="68"/>
      <c r="CV228" s="68"/>
      <c r="CW228" s="68"/>
      <c r="CX228" s="68"/>
      <c r="CY228" s="68"/>
      <c r="CZ228" s="68"/>
      <c r="DA228" s="68"/>
      <c r="DB228" s="68"/>
      <c r="DC228" s="68"/>
      <c r="DD228" s="68"/>
      <c r="DE228" s="68"/>
      <c r="DF228" s="68"/>
      <c r="DG228" s="68"/>
      <c r="DH228" s="68"/>
      <c r="DI228" s="68"/>
      <c r="DJ228" s="68"/>
      <c r="DK228" s="68"/>
      <c r="DL228" s="68"/>
      <c r="DM228" s="68"/>
      <c r="DN228" s="68"/>
      <c r="DO228" s="68"/>
      <c r="DP228" s="68"/>
      <c r="DQ228" s="68"/>
      <c r="DR228" s="68"/>
      <c r="DS228" s="68"/>
      <c r="DT228" s="68"/>
      <c r="DU228" s="68"/>
      <c r="DV228" s="68"/>
      <c r="DW228" s="68"/>
      <c r="DX228" s="68"/>
      <c r="DY228" s="68"/>
      <c r="DZ228" s="68"/>
      <c r="EA228" s="68"/>
      <c r="EB228" s="68"/>
      <c r="EC228" s="68"/>
      <c r="ED228" s="68"/>
      <c r="EE228" s="68"/>
      <c r="EF228" s="68"/>
      <c r="EG228" s="68"/>
      <c r="EH228" s="68"/>
      <c r="EI228" s="68"/>
      <c r="EJ228" s="68"/>
      <c r="EK228" s="68"/>
      <c r="EL228" s="68"/>
      <c r="EM228" s="68"/>
      <c r="EN228" s="68"/>
      <c r="EO228" s="68"/>
      <c r="EP228" s="68"/>
      <c r="EQ228" s="68"/>
      <c r="ER228" s="3"/>
      <c r="ES228" s="3"/>
      <c r="EV228" s="350"/>
      <c r="EW228" s="350"/>
      <c r="EX228" s="1"/>
      <c r="EY228" s="1"/>
      <c r="EZ228" s="350"/>
      <c r="FB228" s="1"/>
    </row>
    <row r="229" spans="3:158" ht="20.25" customHeight="1" x14ac:dyDescent="0.25">
      <c r="C229" s="1"/>
      <c r="D229" s="102"/>
      <c r="E229" s="102"/>
      <c r="F229" s="103"/>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113"/>
      <c r="AO229" s="68"/>
      <c r="AP229" s="68"/>
      <c r="AQ229" s="68"/>
      <c r="AR229" s="68"/>
      <c r="AS229" s="68"/>
      <c r="AT229" s="66"/>
      <c r="AU229" s="68"/>
      <c r="AV229" s="68"/>
      <c r="AW229" s="68"/>
      <c r="AX229" s="66"/>
      <c r="AY229" s="68"/>
      <c r="AZ229" s="66"/>
      <c r="BA229" s="68"/>
      <c r="BB229" s="68"/>
      <c r="BC229" s="68"/>
      <c r="BD229" s="68"/>
      <c r="BE229" s="68"/>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8"/>
      <c r="CG229" s="68"/>
      <c r="CH229" s="66"/>
      <c r="CI229" s="66"/>
      <c r="CJ229" s="68"/>
      <c r="CK229" s="68"/>
      <c r="CL229" s="68"/>
      <c r="CM229" s="68"/>
      <c r="CN229" s="66"/>
      <c r="CO229" s="68"/>
      <c r="CP229" s="66"/>
      <c r="CQ229" s="68"/>
      <c r="CR229" s="68"/>
      <c r="CS229" s="68"/>
      <c r="CT229" s="68"/>
      <c r="CU229" s="68"/>
      <c r="CV229" s="68"/>
      <c r="CW229" s="68"/>
      <c r="CX229" s="68"/>
      <c r="CY229" s="68"/>
      <c r="CZ229" s="68"/>
      <c r="DA229" s="68"/>
      <c r="DB229" s="68"/>
      <c r="DC229" s="68"/>
      <c r="DD229" s="68"/>
      <c r="DE229" s="68"/>
      <c r="DF229" s="68"/>
      <c r="DG229" s="68"/>
      <c r="DH229" s="68"/>
      <c r="DI229" s="68"/>
      <c r="DJ229" s="68"/>
      <c r="DK229" s="68"/>
      <c r="DL229" s="68"/>
      <c r="DM229" s="68"/>
      <c r="DN229" s="68"/>
      <c r="DO229" s="68"/>
      <c r="DP229" s="68"/>
      <c r="DQ229" s="68"/>
      <c r="DR229" s="68"/>
      <c r="DS229" s="68"/>
      <c r="DT229" s="68"/>
      <c r="DU229" s="68"/>
      <c r="DV229" s="68"/>
      <c r="DW229" s="68"/>
      <c r="DX229" s="68"/>
      <c r="DY229" s="68"/>
      <c r="DZ229" s="68"/>
      <c r="EA229" s="68"/>
      <c r="EB229" s="68"/>
      <c r="EC229" s="68"/>
      <c r="ED229" s="68"/>
      <c r="EE229" s="68"/>
      <c r="EF229" s="68"/>
      <c r="EG229" s="68"/>
      <c r="EH229" s="68"/>
      <c r="EI229" s="68"/>
      <c r="EJ229" s="68"/>
      <c r="EK229" s="68"/>
      <c r="EL229" s="68"/>
      <c r="EM229" s="68"/>
      <c r="EN229" s="68"/>
      <c r="EO229" s="68"/>
      <c r="EP229" s="68"/>
      <c r="EQ229" s="68"/>
      <c r="ER229" s="3"/>
      <c r="ES229" s="3"/>
      <c r="EV229" s="350"/>
      <c r="EW229" s="350"/>
      <c r="EX229" s="1"/>
      <c r="EY229" s="1"/>
      <c r="EZ229" s="350"/>
      <c r="FB229" s="1"/>
    </row>
    <row r="230" spans="3:158" ht="20.25" customHeight="1" x14ac:dyDescent="0.25">
      <c r="C230" s="1"/>
      <c r="D230" s="102"/>
      <c r="E230" s="102"/>
      <c r="F230" s="103"/>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113"/>
      <c r="AO230" s="68"/>
      <c r="AP230" s="68"/>
      <c r="AQ230" s="68"/>
      <c r="AR230" s="68"/>
      <c r="AS230" s="68"/>
      <c r="AT230" s="66"/>
      <c r="AU230" s="68"/>
      <c r="AV230" s="68"/>
      <c r="AW230" s="68"/>
      <c r="AX230" s="66"/>
      <c r="AY230" s="68"/>
      <c r="AZ230" s="66"/>
      <c r="BA230" s="68"/>
      <c r="BB230" s="68"/>
      <c r="BC230" s="68"/>
      <c r="BD230" s="68"/>
      <c r="BE230" s="68"/>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8"/>
      <c r="CG230" s="68"/>
      <c r="CH230" s="66"/>
      <c r="CI230" s="66"/>
      <c r="CJ230" s="68"/>
      <c r="CK230" s="68"/>
      <c r="CL230" s="68"/>
      <c r="CM230" s="68"/>
      <c r="CN230" s="66"/>
      <c r="CO230" s="68"/>
      <c r="CP230" s="66"/>
      <c r="CQ230" s="68"/>
      <c r="CR230" s="68"/>
      <c r="CS230" s="68"/>
      <c r="CT230" s="68"/>
      <c r="CU230" s="68"/>
      <c r="CV230" s="68"/>
      <c r="CW230" s="68"/>
      <c r="CX230" s="68"/>
      <c r="CY230" s="68"/>
      <c r="CZ230" s="68"/>
      <c r="DA230" s="68"/>
      <c r="DB230" s="68"/>
      <c r="DC230" s="68"/>
      <c r="DD230" s="68"/>
      <c r="DE230" s="68"/>
      <c r="DF230" s="68"/>
      <c r="DG230" s="68"/>
      <c r="DH230" s="68"/>
      <c r="DI230" s="68"/>
      <c r="DJ230" s="68"/>
      <c r="DK230" s="68"/>
      <c r="DL230" s="68"/>
      <c r="DM230" s="68"/>
      <c r="DN230" s="68"/>
      <c r="DO230" s="68"/>
      <c r="DP230" s="68"/>
      <c r="DQ230" s="68"/>
      <c r="DR230" s="68"/>
      <c r="DS230" s="68"/>
      <c r="DT230" s="68"/>
      <c r="DU230" s="68"/>
      <c r="DV230" s="68"/>
      <c r="DW230" s="68"/>
      <c r="DX230" s="68"/>
      <c r="DY230" s="68"/>
      <c r="DZ230" s="68"/>
      <c r="EA230" s="68"/>
      <c r="EB230" s="68"/>
      <c r="EC230" s="68"/>
      <c r="ED230" s="68"/>
      <c r="EE230" s="68"/>
      <c r="EF230" s="68"/>
      <c r="EG230" s="68"/>
      <c r="EH230" s="68"/>
      <c r="EI230" s="68"/>
      <c r="EJ230" s="68"/>
      <c r="EK230" s="68"/>
      <c r="EL230" s="68"/>
      <c r="EM230" s="68"/>
      <c r="EN230" s="68"/>
      <c r="EO230" s="68"/>
      <c r="EP230" s="68"/>
      <c r="EQ230" s="68"/>
      <c r="ER230" s="3"/>
      <c r="ES230" s="3"/>
      <c r="EV230" s="350"/>
      <c r="EW230" s="350"/>
      <c r="EX230" s="1"/>
      <c r="EY230" s="1"/>
      <c r="EZ230" s="350"/>
      <c r="FB230" s="1"/>
    </row>
    <row r="231" spans="3:158" ht="20.25" customHeight="1" x14ac:dyDescent="0.25">
      <c r="C231" s="1"/>
      <c r="D231" s="102"/>
      <c r="E231" s="102"/>
      <c r="F231" s="103"/>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113"/>
      <c r="AO231" s="68"/>
      <c r="AP231" s="68"/>
      <c r="AQ231" s="68"/>
      <c r="AR231" s="68"/>
      <c r="AS231" s="68"/>
      <c r="AT231" s="66"/>
      <c r="AU231" s="68"/>
      <c r="AV231" s="68"/>
      <c r="AW231" s="68"/>
      <c r="AX231" s="66"/>
      <c r="AY231" s="68"/>
      <c r="AZ231" s="66"/>
      <c r="BA231" s="68"/>
      <c r="BB231" s="68"/>
      <c r="BC231" s="68"/>
      <c r="BD231" s="68"/>
      <c r="BE231" s="68"/>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8"/>
      <c r="CG231" s="68"/>
      <c r="CH231" s="66"/>
      <c r="CI231" s="66"/>
      <c r="CJ231" s="68"/>
      <c r="CK231" s="68"/>
      <c r="CL231" s="68"/>
      <c r="CM231" s="68"/>
      <c r="CN231" s="66"/>
      <c r="CO231" s="68"/>
      <c r="CP231" s="66"/>
      <c r="CQ231" s="68"/>
      <c r="CR231" s="68"/>
      <c r="CS231" s="68"/>
      <c r="CT231" s="68"/>
      <c r="CU231" s="68"/>
      <c r="CV231" s="68"/>
      <c r="CW231" s="68"/>
      <c r="CX231" s="68"/>
      <c r="CY231" s="68"/>
      <c r="CZ231" s="68"/>
      <c r="DA231" s="68"/>
      <c r="DB231" s="68"/>
      <c r="DC231" s="68"/>
      <c r="DD231" s="68"/>
      <c r="DE231" s="68"/>
      <c r="DF231" s="68"/>
      <c r="DG231" s="68"/>
      <c r="DH231" s="68"/>
      <c r="DI231" s="68"/>
      <c r="DJ231" s="68"/>
      <c r="DK231" s="68"/>
      <c r="DL231" s="68"/>
      <c r="DM231" s="68"/>
      <c r="DN231" s="68"/>
      <c r="DO231" s="68"/>
      <c r="DP231" s="68"/>
      <c r="DQ231" s="68"/>
      <c r="DR231" s="68"/>
      <c r="DS231" s="68"/>
      <c r="DT231" s="68"/>
      <c r="DU231" s="68"/>
      <c r="DV231" s="68"/>
      <c r="DW231" s="68"/>
      <c r="DX231" s="68"/>
      <c r="DY231" s="68"/>
      <c r="DZ231" s="68"/>
      <c r="EA231" s="68"/>
      <c r="EB231" s="68"/>
      <c r="EC231" s="68"/>
      <c r="ED231" s="68"/>
      <c r="EE231" s="68"/>
      <c r="EF231" s="68"/>
      <c r="EG231" s="68"/>
      <c r="EH231" s="68"/>
      <c r="EI231" s="68"/>
      <c r="EJ231" s="68"/>
      <c r="EK231" s="68"/>
      <c r="EL231" s="68"/>
      <c r="EM231" s="68"/>
      <c r="EN231" s="68"/>
      <c r="EO231" s="68"/>
      <c r="EP231" s="68"/>
      <c r="EQ231" s="68"/>
      <c r="ER231" s="3"/>
      <c r="ES231" s="3"/>
      <c r="EV231" s="350"/>
      <c r="EW231" s="350"/>
      <c r="EX231" s="1"/>
      <c r="EY231" s="1"/>
      <c r="EZ231" s="350"/>
      <c r="FB231" s="1"/>
    </row>
    <row r="232" spans="3:158" ht="20.25" customHeight="1" x14ac:dyDescent="0.25">
      <c r="C232" s="1"/>
      <c r="D232" s="102"/>
      <c r="E232" s="102"/>
      <c r="F232" s="103"/>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113"/>
      <c r="AO232" s="68"/>
      <c r="AP232" s="68"/>
      <c r="AQ232" s="68"/>
      <c r="AR232" s="68"/>
      <c r="AS232" s="68"/>
      <c r="AT232" s="66"/>
      <c r="AU232" s="68"/>
      <c r="AV232" s="68"/>
      <c r="AW232" s="68"/>
      <c r="AX232" s="66"/>
      <c r="AY232" s="68"/>
      <c r="AZ232" s="66"/>
      <c r="BA232" s="68"/>
      <c r="BB232" s="68"/>
      <c r="BC232" s="68"/>
      <c r="BD232" s="68"/>
      <c r="BE232" s="68"/>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8"/>
      <c r="CG232" s="68"/>
      <c r="CH232" s="66"/>
      <c r="CI232" s="66"/>
      <c r="CJ232" s="68"/>
      <c r="CK232" s="68"/>
      <c r="CL232" s="68"/>
      <c r="CM232" s="68"/>
      <c r="CN232" s="66"/>
      <c r="CO232" s="68"/>
      <c r="CP232" s="66"/>
      <c r="CQ232" s="68"/>
      <c r="CR232" s="68"/>
      <c r="CS232" s="68"/>
      <c r="CT232" s="68"/>
      <c r="CU232" s="68"/>
      <c r="CV232" s="68"/>
      <c r="CW232" s="68"/>
      <c r="CX232" s="68"/>
      <c r="CY232" s="68"/>
      <c r="CZ232" s="68"/>
      <c r="DA232" s="68"/>
      <c r="DB232" s="68"/>
      <c r="DC232" s="68"/>
      <c r="DD232" s="68"/>
      <c r="DE232" s="68"/>
      <c r="DF232" s="68"/>
      <c r="DG232" s="68"/>
      <c r="DH232" s="68"/>
      <c r="DI232" s="68"/>
      <c r="DJ232" s="68"/>
      <c r="DK232" s="68"/>
      <c r="DL232" s="68"/>
      <c r="DM232" s="68"/>
      <c r="DN232" s="68"/>
      <c r="DO232" s="68"/>
      <c r="DP232" s="68"/>
      <c r="DQ232" s="68"/>
      <c r="DR232" s="68"/>
      <c r="DS232" s="68"/>
      <c r="DT232" s="68"/>
      <c r="DU232" s="68"/>
      <c r="DV232" s="68"/>
      <c r="DW232" s="68"/>
      <c r="DX232" s="68"/>
      <c r="DY232" s="68"/>
      <c r="DZ232" s="68"/>
      <c r="EA232" s="68"/>
      <c r="EB232" s="68"/>
      <c r="EC232" s="68"/>
      <c r="ED232" s="68"/>
      <c r="EE232" s="68"/>
      <c r="EF232" s="68"/>
      <c r="EG232" s="68"/>
      <c r="EH232" s="68"/>
      <c r="EI232" s="68"/>
      <c r="EJ232" s="68"/>
      <c r="EK232" s="68"/>
      <c r="EL232" s="68"/>
      <c r="EM232" s="68"/>
      <c r="EN232" s="68"/>
      <c r="EO232" s="68"/>
      <c r="EP232" s="68"/>
      <c r="EQ232" s="68"/>
      <c r="ER232" s="3"/>
      <c r="ES232" s="3"/>
      <c r="EV232" s="350"/>
      <c r="EW232" s="350"/>
      <c r="EX232" s="1"/>
      <c r="EY232" s="1"/>
      <c r="EZ232" s="350"/>
      <c r="FB232" s="1"/>
    </row>
    <row r="233" spans="3:158" ht="20.25" customHeight="1" x14ac:dyDescent="0.25">
      <c r="C233" s="1"/>
      <c r="D233" s="102"/>
      <c r="E233" s="102"/>
      <c r="F233" s="103"/>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113"/>
      <c r="AO233" s="68"/>
      <c r="AP233" s="68"/>
      <c r="AQ233" s="68"/>
      <c r="AR233" s="68"/>
      <c r="AS233" s="68"/>
      <c r="AT233" s="66"/>
      <c r="AU233" s="68"/>
      <c r="AV233" s="68"/>
      <c r="AW233" s="68"/>
      <c r="AX233" s="66"/>
      <c r="AY233" s="68"/>
      <c r="AZ233" s="66"/>
      <c r="BA233" s="68"/>
      <c r="BB233" s="68"/>
      <c r="BC233" s="68"/>
      <c r="BD233" s="68"/>
      <c r="BE233" s="68"/>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8"/>
      <c r="CG233" s="68"/>
      <c r="CH233" s="66"/>
      <c r="CI233" s="66"/>
      <c r="CJ233" s="68"/>
      <c r="CK233" s="68"/>
      <c r="CL233" s="68"/>
      <c r="CM233" s="68"/>
      <c r="CN233" s="66"/>
      <c r="CO233" s="68"/>
      <c r="CP233" s="66"/>
      <c r="CQ233" s="68"/>
      <c r="CR233" s="68"/>
      <c r="CS233" s="68"/>
      <c r="CT233" s="68"/>
      <c r="CU233" s="68"/>
      <c r="CV233" s="68"/>
      <c r="CW233" s="68"/>
      <c r="CX233" s="68"/>
      <c r="CY233" s="68"/>
      <c r="CZ233" s="68"/>
      <c r="DA233" s="68"/>
      <c r="DB233" s="68"/>
      <c r="DC233" s="68"/>
      <c r="DD233" s="68"/>
      <c r="DE233" s="68"/>
      <c r="DF233" s="68"/>
      <c r="DG233" s="68"/>
      <c r="DH233" s="68"/>
      <c r="DI233" s="68"/>
      <c r="DJ233" s="68"/>
      <c r="DK233" s="68"/>
      <c r="DL233" s="68"/>
      <c r="DM233" s="68"/>
      <c r="DN233" s="68"/>
      <c r="DO233" s="68"/>
      <c r="DP233" s="68"/>
      <c r="DQ233" s="68"/>
      <c r="DR233" s="68"/>
      <c r="DS233" s="68"/>
      <c r="DT233" s="68"/>
      <c r="DU233" s="68"/>
      <c r="DV233" s="68"/>
      <c r="DW233" s="68"/>
      <c r="DX233" s="68"/>
      <c r="DY233" s="68"/>
      <c r="DZ233" s="68"/>
      <c r="EA233" s="68"/>
      <c r="EB233" s="68"/>
      <c r="EC233" s="68"/>
      <c r="ED233" s="68"/>
      <c r="EE233" s="68"/>
      <c r="EF233" s="68"/>
      <c r="EG233" s="68"/>
      <c r="EH233" s="68"/>
      <c r="EI233" s="68"/>
      <c r="EJ233" s="68"/>
      <c r="EK233" s="68"/>
      <c r="EL233" s="68"/>
      <c r="EM233" s="68"/>
      <c r="EN233" s="68"/>
      <c r="EO233" s="68"/>
      <c r="EP233" s="68"/>
      <c r="EQ233" s="68"/>
      <c r="ER233" s="3"/>
      <c r="ES233" s="3"/>
      <c r="EV233" s="350"/>
      <c r="EW233" s="350"/>
      <c r="EX233" s="1"/>
      <c r="EY233" s="1"/>
      <c r="EZ233" s="350"/>
      <c r="FB233" s="1"/>
    </row>
    <row r="234" spans="3:158" ht="20.25" customHeight="1" x14ac:dyDescent="0.25">
      <c r="C234" s="1"/>
      <c r="D234" s="102"/>
      <c r="E234" s="102"/>
      <c r="F234" s="103"/>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113"/>
      <c r="AO234" s="68"/>
      <c r="AP234" s="68"/>
      <c r="AQ234" s="68"/>
      <c r="AR234" s="68"/>
      <c r="AS234" s="68"/>
      <c r="AT234" s="66"/>
      <c r="AU234" s="68"/>
      <c r="AV234" s="68"/>
      <c r="AW234" s="68"/>
      <c r="AX234" s="66"/>
      <c r="AY234" s="68"/>
      <c r="AZ234" s="66"/>
      <c r="BA234" s="68"/>
      <c r="BB234" s="68"/>
      <c r="BC234" s="68"/>
      <c r="BD234" s="68"/>
      <c r="BE234" s="68"/>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8"/>
      <c r="CG234" s="68"/>
      <c r="CH234" s="66"/>
      <c r="CI234" s="66"/>
      <c r="CJ234" s="68"/>
      <c r="CK234" s="68"/>
      <c r="CL234" s="68"/>
      <c r="CM234" s="68"/>
      <c r="CN234" s="66"/>
      <c r="CO234" s="68"/>
      <c r="CP234" s="66"/>
      <c r="CQ234" s="68"/>
      <c r="CR234" s="68"/>
      <c r="CS234" s="68"/>
      <c r="CT234" s="68"/>
      <c r="CU234" s="68"/>
      <c r="CV234" s="68"/>
      <c r="CW234" s="68"/>
      <c r="CX234" s="68"/>
      <c r="CY234" s="68"/>
      <c r="CZ234" s="68"/>
      <c r="DA234" s="68"/>
      <c r="DB234" s="68"/>
      <c r="DC234" s="68"/>
      <c r="DD234" s="68"/>
      <c r="DE234" s="68"/>
      <c r="DF234" s="68"/>
      <c r="DG234" s="68"/>
      <c r="DH234" s="68"/>
      <c r="DI234" s="68"/>
      <c r="DJ234" s="68"/>
      <c r="DK234" s="68"/>
      <c r="DL234" s="68"/>
      <c r="DM234" s="68"/>
      <c r="DN234" s="68"/>
      <c r="DO234" s="68"/>
      <c r="DP234" s="68"/>
      <c r="DQ234" s="68"/>
      <c r="DR234" s="68"/>
      <c r="DS234" s="68"/>
      <c r="DT234" s="68"/>
      <c r="DU234" s="68"/>
      <c r="DV234" s="68"/>
      <c r="DW234" s="68"/>
      <c r="DX234" s="68"/>
      <c r="DY234" s="68"/>
      <c r="DZ234" s="68"/>
      <c r="EA234" s="68"/>
      <c r="EB234" s="68"/>
      <c r="EC234" s="68"/>
      <c r="ED234" s="68"/>
      <c r="EE234" s="68"/>
      <c r="EF234" s="68"/>
      <c r="EG234" s="68"/>
      <c r="EH234" s="68"/>
      <c r="EI234" s="68"/>
      <c r="EJ234" s="68"/>
      <c r="EK234" s="68"/>
      <c r="EL234" s="68"/>
      <c r="EM234" s="68"/>
      <c r="EN234" s="68"/>
      <c r="EO234" s="68"/>
      <c r="EP234" s="68"/>
      <c r="EQ234" s="68"/>
      <c r="ER234" s="3"/>
      <c r="ES234" s="3"/>
      <c r="EV234" s="350"/>
      <c r="EW234" s="350"/>
      <c r="EX234" s="1"/>
      <c r="EY234" s="1"/>
      <c r="EZ234" s="350"/>
      <c r="FB234" s="1"/>
    </row>
    <row r="235" spans="3:158" ht="20.25" customHeight="1" x14ac:dyDescent="0.25">
      <c r="C235" s="1"/>
      <c r="D235" s="102"/>
      <c r="E235" s="102"/>
      <c r="F235" s="103"/>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113"/>
      <c r="AO235" s="68"/>
      <c r="AP235" s="68"/>
      <c r="AQ235" s="68"/>
      <c r="AR235" s="68"/>
      <c r="AS235" s="68"/>
      <c r="AT235" s="66"/>
      <c r="AU235" s="68"/>
      <c r="AV235" s="68"/>
      <c r="AW235" s="68"/>
      <c r="AX235" s="66"/>
      <c r="AY235" s="68"/>
      <c r="AZ235" s="66"/>
      <c r="BA235" s="68"/>
      <c r="BB235" s="68"/>
      <c r="BC235" s="68"/>
      <c r="BD235" s="68"/>
      <c r="BE235" s="68"/>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8"/>
      <c r="CG235" s="68"/>
      <c r="CH235" s="66"/>
      <c r="CI235" s="66"/>
      <c r="CJ235" s="68"/>
      <c r="CK235" s="68"/>
      <c r="CL235" s="68"/>
      <c r="CM235" s="68"/>
      <c r="CN235" s="66"/>
      <c r="CO235" s="68"/>
      <c r="CP235" s="66"/>
      <c r="CQ235" s="68"/>
      <c r="CR235" s="68"/>
      <c r="CS235" s="68"/>
      <c r="CT235" s="68"/>
      <c r="CU235" s="68"/>
      <c r="CV235" s="68"/>
      <c r="CW235" s="68"/>
      <c r="CX235" s="68"/>
      <c r="CY235" s="68"/>
      <c r="CZ235" s="68"/>
      <c r="DA235" s="68"/>
      <c r="DB235" s="68"/>
      <c r="DC235" s="68"/>
      <c r="DD235" s="68"/>
      <c r="DE235" s="68"/>
      <c r="DF235" s="68"/>
      <c r="DG235" s="68"/>
      <c r="DH235" s="68"/>
      <c r="DI235" s="68"/>
      <c r="DJ235" s="68"/>
      <c r="DK235" s="68"/>
      <c r="DL235" s="68"/>
      <c r="DM235" s="68"/>
      <c r="DN235" s="68"/>
      <c r="DO235" s="68"/>
      <c r="DP235" s="68"/>
      <c r="DQ235" s="68"/>
      <c r="DR235" s="68"/>
      <c r="DS235" s="68"/>
      <c r="DT235" s="68"/>
      <c r="DU235" s="68"/>
      <c r="DV235" s="68"/>
      <c r="DW235" s="68"/>
      <c r="DX235" s="68"/>
      <c r="DY235" s="68"/>
      <c r="DZ235" s="68"/>
      <c r="EA235" s="68"/>
      <c r="EB235" s="68"/>
      <c r="EC235" s="68"/>
      <c r="ED235" s="68"/>
      <c r="EE235" s="68"/>
      <c r="EF235" s="68"/>
      <c r="EG235" s="68"/>
      <c r="EH235" s="68"/>
      <c r="EI235" s="68"/>
      <c r="EJ235" s="68"/>
      <c r="EK235" s="68"/>
      <c r="EL235" s="68"/>
      <c r="EM235" s="68"/>
      <c r="EN235" s="68"/>
      <c r="EO235" s="68"/>
      <c r="EP235" s="68"/>
      <c r="EQ235" s="68"/>
      <c r="ER235" s="3"/>
      <c r="ES235" s="3"/>
      <c r="EV235" s="350"/>
      <c r="EW235" s="350"/>
      <c r="EX235" s="1"/>
      <c r="EY235" s="1"/>
      <c r="EZ235" s="350"/>
      <c r="FB235" s="1"/>
    </row>
    <row r="236" spans="3:158" ht="20.25" customHeight="1" x14ac:dyDescent="0.25">
      <c r="C236" s="1"/>
      <c r="D236" s="102"/>
      <c r="E236" s="102"/>
      <c r="F236" s="103"/>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113"/>
      <c r="AO236" s="68"/>
      <c r="AP236" s="68"/>
      <c r="AQ236" s="68"/>
      <c r="AR236" s="68"/>
      <c r="AS236" s="68"/>
      <c r="AT236" s="66"/>
      <c r="AU236" s="68"/>
      <c r="AV236" s="68"/>
      <c r="AW236" s="68"/>
      <c r="AX236" s="66"/>
      <c r="AY236" s="68"/>
      <c r="AZ236" s="66"/>
      <c r="BA236" s="68"/>
      <c r="BB236" s="68"/>
      <c r="BC236" s="68"/>
      <c r="BD236" s="68"/>
      <c r="BE236" s="68"/>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8"/>
      <c r="CG236" s="68"/>
      <c r="CH236" s="66"/>
      <c r="CI236" s="66"/>
      <c r="CJ236" s="68"/>
      <c r="CK236" s="68"/>
      <c r="CL236" s="68"/>
      <c r="CM236" s="68"/>
      <c r="CN236" s="66"/>
      <c r="CO236" s="68"/>
      <c r="CP236" s="66"/>
      <c r="CQ236" s="68"/>
      <c r="CR236" s="68"/>
      <c r="CS236" s="68"/>
      <c r="CT236" s="68"/>
      <c r="CU236" s="68"/>
      <c r="CV236" s="68"/>
      <c r="CW236" s="68"/>
      <c r="CX236" s="68"/>
      <c r="CY236" s="68"/>
      <c r="CZ236" s="68"/>
      <c r="DA236" s="68"/>
      <c r="DB236" s="68"/>
      <c r="DC236" s="68"/>
      <c r="DD236" s="68"/>
      <c r="DE236" s="68"/>
      <c r="DF236" s="68"/>
      <c r="DG236" s="68"/>
      <c r="DH236" s="68"/>
      <c r="DI236" s="68"/>
      <c r="DJ236" s="68"/>
      <c r="DK236" s="68"/>
      <c r="DL236" s="68"/>
      <c r="DM236" s="68"/>
      <c r="DN236" s="68"/>
      <c r="DO236" s="68"/>
      <c r="DP236" s="68"/>
      <c r="DQ236" s="68"/>
      <c r="DR236" s="68"/>
      <c r="DS236" s="68"/>
      <c r="DT236" s="68"/>
      <c r="DU236" s="68"/>
      <c r="DV236" s="68"/>
      <c r="DW236" s="68"/>
      <c r="DX236" s="68"/>
      <c r="DY236" s="68"/>
      <c r="DZ236" s="68"/>
      <c r="EA236" s="68"/>
      <c r="EB236" s="68"/>
      <c r="EC236" s="68"/>
      <c r="ED236" s="68"/>
      <c r="EE236" s="68"/>
      <c r="EF236" s="68"/>
      <c r="EG236" s="68"/>
      <c r="EH236" s="68"/>
      <c r="EI236" s="68"/>
      <c r="EJ236" s="68"/>
      <c r="EK236" s="68"/>
      <c r="EL236" s="68"/>
      <c r="EM236" s="68"/>
      <c r="EN236" s="68"/>
      <c r="EO236" s="68"/>
      <c r="EP236" s="68"/>
      <c r="EQ236" s="68"/>
      <c r="ER236" s="3"/>
      <c r="ES236" s="3"/>
      <c r="EV236" s="350"/>
      <c r="EW236" s="350"/>
      <c r="EX236" s="1"/>
      <c r="EY236" s="1"/>
      <c r="EZ236" s="350"/>
      <c r="FB236" s="1"/>
    </row>
    <row r="237" spans="3:158" ht="20.25" customHeight="1" x14ac:dyDescent="0.25">
      <c r="C237" s="1"/>
      <c r="D237" s="102"/>
      <c r="E237" s="102"/>
      <c r="F237" s="103"/>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113"/>
      <c r="AO237" s="68"/>
      <c r="AP237" s="68"/>
      <c r="AQ237" s="68"/>
      <c r="AR237" s="68"/>
      <c r="AS237" s="68"/>
      <c r="AT237" s="66"/>
      <c r="AU237" s="68"/>
      <c r="AV237" s="68"/>
      <c r="AW237" s="68"/>
      <c r="AX237" s="66"/>
      <c r="AY237" s="68"/>
      <c r="AZ237" s="66"/>
      <c r="BA237" s="68"/>
      <c r="BB237" s="68"/>
      <c r="BC237" s="68"/>
      <c r="BD237" s="68"/>
      <c r="BE237" s="68"/>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8"/>
      <c r="CG237" s="68"/>
      <c r="CH237" s="66"/>
      <c r="CI237" s="66"/>
      <c r="CJ237" s="68"/>
      <c r="CK237" s="68"/>
      <c r="CL237" s="68"/>
      <c r="CM237" s="68"/>
      <c r="CN237" s="66"/>
      <c r="CO237" s="68"/>
      <c r="CP237" s="66"/>
      <c r="CQ237" s="68"/>
      <c r="CR237" s="68"/>
      <c r="CS237" s="68"/>
      <c r="CT237" s="68"/>
      <c r="CU237" s="68"/>
      <c r="CV237" s="68"/>
      <c r="CW237" s="68"/>
      <c r="CX237" s="68"/>
      <c r="CY237" s="68"/>
      <c r="CZ237" s="68"/>
      <c r="DA237" s="68"/>
      <c r="DB237" s="68"/>
      <c r="DC237" s="68"/>
      <c r="DD237" s="68"/>
      <c r="DE237" s="68"/>
      <c r="DF237" s="68"/>
      <c r="DG237" s="68"/>
      <c r="DH237" s="68"/>
      <c r="DI237" s="68"/>
      <c r="DJ237" s="68"/>
      <c r="DK237" s="68"/>
      <c r="DL237" s="68"/>
      <c r="DM237" s="68"/>
      <c r="DN237" s="68"/>
      <c r="DO237" s="68"/>
      <c r="DP237" s="68"/>
      <c r="DQ237" s="68"/>
      <c r="DR237" s="68"/>
      <c r="DS237" s="68"/>
      <c r="DT237" s="68"/>
      <c r="DU237" s="68"/>
      <c r="DV237" s="68"/>
      <c r="DW237" s="68"/>
      <c r="DX237" s="68"/>
      <c r="DY237" s="68"/>
      <c r="DZ237" s="68"/>
      <c r="EA237" s="68"/>
      <c r="EB237" s="68"/>
      <c r="EC237" s="68"/>
      <c r="ED237" s="68"/>
      <c r="EE237" s="68"/>
      <c r="EF237" s="68"/>
      <c r="EG237" s="68"/>
      <c r="EH237" s="68"/>
      <c r="EI237" s="68"/>
      <c r="EJ237" s="68"/>
      <c r="EK237" s="68"/>
      <c r="EL237" s="68"/>
      <c r="EM237" s="68"/>
      <c r="EN237" s="68"/>
      <c r="EO237" s="68"/>
      <c r="EP237" s="68"/>
      <c r="EQ237" s="68"/>
      <c r="ER237" s="3"/>
      <c r="ES237" s="3"/>
      <c r="EV237" s="350"/>
      <c r="EW237" s="350"/>
      <c r="EX237" s="1"/>
      <c r="EY237" s="1"/>
      <c r="EZ237" s="350"/>
      <c r="FB237" s="1"/>
    </row>
    <row r="238" spans="3:158" ht="20.25" customHeight="1" x14ac:dyDescent="0.25">
      <c r="C238" s="1"/>
      <c r="D238" s="102"/>
      <c r="E238" s="102"/>
      <c r="F238" s="103"/>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113"/>
      <c r="AO238" s="68"/>
      <c r="AP238" s="68"/>
      <c r="AQ238" s="68"/>
      <c r="AR238" s="68"/>
      <c r="AS238" s="68"/>
      <c r="AT238" s="66"/>
      <c r="AU238" s="68"/>
      <c r="AV238" s="68"/>
      <c r="AW238" s="68"/>
      <c r="AX238" s="66"/>
      <c r="AY238" s="68"/>
      <c r="AZ238" s="66"/>
      <c r="BA238" s="68"/>
      <c r="BB238" s="68"/>
      <c r="BC238" s="68"/>
      <c r="BD238" s="68"/>
      <c r="BE238" s="68"/>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8"/>
      <c r="CG238" s="68"/>
      <c r="CH238" s="66"/>
      <c r="CI238" s="66"/>
      <c r="CJ238" s="68"/>
      <c r="CK238" s="68"/>
      <c r="CL238" s="68"/>
      <c r="CM238" s="68"/>
      <c r="CN238" s="66"/>
      <c r="CO238" s="68"/>
      <c r="CP238" s="66"/>
      <c r="CQ238" s="68"/>
      <c r="CR238" s="68"/>
      <c r="CS238" s="68"/>
      <c r="CT238" s="68"/>
      <c r="CU238" s="68"/>
      <c r="CV238" s="68"/>
      <c r="CW238" s="68"/>
      <c r="CX238" s="68"/>
      <c r="CY238" s="68"/>
      <c r="CZ238" s="68"/>
      <c r="DA238" s="68"/>
      <c r="DB238" s="68"/>
      <c r="DC238" s="68"/>
      <c r="DD238" s="68"/>
      <c r="DE238" s="68"/>
      <c r="DF238" s="68"/>
      <c r="DG238" s="68"/>
      <c r="DH238" s="68"/>
      <c r="DI238" s="68"/>
      <c r="DJ238" s="68"/>
      <c r="DK238" s="68"/>
      <c r="DL238" s="68"/>
      <c r="DM238" s="68"/>
      <c r="DN238" s="68"/>
      <c r="DO238" s="68"/>
      <c r="DP238" s="68"/>
      <c r="DQ238" s="68"/>
      <c r="DR238" s="68"/>
      <c r="DS238" s="68"/>
      <c r="DT238" s="68"/>
      <c r="DU238" s="68"/>
      <c r="DV238" s="68"/>
      <c r="DW238" s="68"/>
      <c r="DX238" s="68"/>
      <c r="DY238" s="68"/>
      <c r="DZ238" s="68"/>
      <c r="EA238" s="68"/>
      <c r="EB238" s="68"/>
      <c r="EC238" s="68"/>
      <c r="ED238" s="68"/>
      <c r="EE238" s="68"/>
      <c r="EF238" s="68"/>
      <c r="EG238" s="68"/>
      <c r="EH238" s="68"/>
      <c r="EI238" s="68"/>
      <c r="EJ238" s="68"/>
      <c r="EK238" s="68"/>
      <c r="EL238" s="68"/>
      <c r="EM238" s="68"/>
      <c r="EN238" s="68"/>
      <c r="EO238" s="68"/>
      <c r="EP238" s="68"/>
      <c r="EQ238" s="68"/>
      <c r="ER238" s="3"/>
      <c r="ES238" s="3"/>
      <c r="EV238" s="350"/>
      <c r="EW238" s="350"/>
      <c r="EX238" s="1"/>
      <c r="EY238" s="1"/>
      <c r="EZ238" s="350"/>
      <c r="FB238" s="1"/>
    </row>
    <row r="239" spans="3:158" ht="20.25" customHeight="1" x14ac:dyDescent="0.25">
      <c r="C239" s="1"/>
      <c r="D239" s="102"/>
      <c r="E239" s="102"/>
      <c r="F239" s="103"/>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113"/>
      <c r="AO239" s="68"/>
      <c r="AP239" s="68"/>
      <c r="AQ239" s="68"/>
      <c r="AR239" s="68"/>
      <c r="AS239" s="68"/>
      <c r="AT239" s="66"/>
      <c r="AU239" s="68"/>
      <c r="AV239" s="68"/>
      <c r="AW239" s="68"/>
      <c r="AX239" s="66"/>
      <c r="AY239" s="68"/>
      <c r="AZ239" s="66"/>
      <c r="BA239" s="68"/>
      <c r="BB239" s="68"/>
      <c r="BC239" s="68"/>
      <c r="BD239" s="68"/>
      <c r="BE239" s="68"/>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8"/>
      <c r="CG239" s="68"/>
      <c r="CH239" s="66"/>
      <c r="CI239" s="66"/>
      <c r="CJ239" s="68"/>
      <c r="CK239" s="68"/>
      <c r="CL239" s="68"/>
      <c r="CM239" s="68"/>
      <c r="CN239" s="66"/>
      <c r="CO239" s="68"/>
      <c r="CP239" s="66"/>
      <c r="CQ239" s="68"/>
      <c r="CR239" s="68"/>
      <c r="CS239" s="68"/>
      <c r="CT239" s="68"/>
      <c r="CU239" s="68"/>
      <c r="CV239" s="68"/>
      <c r="CW239" s="68"/>
      <c r="CX239" s="68"/>
      <c r="CY239" s="68"/>
      <c r="CZ239" s="68"/>
      <c r="DA239" s="68"/>
      <c r="DB239" s="68"/>
      <c r="DC239" s="68"/>
      <c r="DD239" s="68"/>
      <c r="DE239" s="68"/>
      <c r="DF239" s="68"/>
      <c r="DG239" s="68"/>
      <c r="DH239" s="68"/>
      <c r="DI239" s="68"/>
      <c r="DJ239" s="68"/>
      <c r="DK239" s="68"/>
      <c r="DL239" s="68"/>
      <c r="DM239" s="68"/>
      <c r="DN239" s="68"/>
      <c r="DO239" s="68"/>
      <c r="DP239" s="68"/>
      <c r="DQ239" s="68"/>
      <c r="DR239" s="68"/>
      <c r="DS239" s="68"/>
      <c r="DT239" s="68"/>
      <c r="DU239" s="68"/>
      <c r="DV239" s="68"/>
      <c r="DW239" s="68"/>
      <c r="DX239" s="68"/>
      <c r="DY239" s="68"/>
      <c r="DZ239" s="68"/>
      <c r="EA239" s="68"/>
      <c r="EB239" s="68"/>
      <c r="EC239" s="68"/>
      <c r="ED239" s="68"/>
      <c r="EE239" s="68"/>
      <c r="EF239" s="68"/>
      <c r="EG239" s="68"/>
      <c r="EH239" s="68"/>
      <c r="EI239" s="68"/>
      <c r="EJ239" s="68"/>
      <c r="EK239" s="68"/>
      <c r="EL239" s="68"/>
      <c r="EM239" s="68"/>
      <c r="EN239" s="68"/>
      <c r="EO239" s="68"/>
      <c r="EP239" s="68"/>
      <c r="EQ239" s="68"/>
      <c r="ER239" s="3"/>
      <c r="ES239" s="3"/>
      <c r="EV239" s="350"/>
      <c r="EW239" s="350"/>
      <c r="EX239" s="1"/>
      <c r="EY239" s="1"/>
      <c r="EZ239" s="350"/>
      <c r="FB239" s="1"/>
    </row>
    <row r="240" spans="3:158" ht="20.25" customHeight="1" x14ac:dyDescent="0.25">
      <c r="C240" s="1"/>
      <c r="D240" s="102"/>
      <c r="E240" s="102"/>
      <c r="F240" s="103"/>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113"/>
      <c r="AO240" s="68"/>
      <c r="AP240" s="68"/>
      <c r="AQ240" s="68"/>
      <c r="AR240" s="68"/>
      <c r="AS240" s="68"/>
      <c r="AT240" s="66"/>
      <c r="AU240" s="68"/>
      <c r="AV240" s="68"/>
      <c r="AW240" s="68"/>
      <c r="AX240" s="66"/>
      <c r="AY240" s="68"/>
      <c r="AZ240" s="66"/>
      <c r="BA240" s="68"/>
      <c r="BB240" s="68"/>
      <c r="BC240" s="68"/>
      <c r="BD240" s="68"/>
      <c r="BE240" s="68"/>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8"/>
      <c r="CG240" s="68"/>
      <c r="CH240" s="66"/>
      <c r="CI240" s="66"/>
      <c r="CJ240" s="68"/>
      <c r="CK240" s="68"/>
      <c r="CL240" s="68"/>
      <c r="CM240" s="68"/>
      <c r="CN240" s="66"/>
      <c r="CO240" s="68"/>
      <c r="CP240" s="66"/>
      <c r="CQ240" s="68"/>
      <c r="CR240" s="68"/>
      <c r="CS240" s="68"/>
      <c r="CT240" s="68"/>
      <c r="CU240" s="68"/>
      <c r="CV240" s="68"/>
      <c r="CW240" s="68"/>
      <c r="CX240" s="68"/>
      <c r="CY240" s="68"/>
      <c r="CZ240" s="68"/>
      <c r="DA240" s="68"/>
      <c r="DB240" s="68"/>
      <c r="DC240" s="68"/>
      <c r="DD240" s="68"/>
      <c r="DE240" s="68"/>
      <c r="DF240" s="68"/>
      <c r="DG240" s="68"/>
      <c r="DH240" s="68"/>
      <c r="DI240" s="68"/>
      <c r="DJ240" s="68"/>
      <c r="DK240" s="68"/>
      <c r="DL240" s="68"/>
      <c r="DM240" s="68"/>
      <c r="DN240" s="68"/>
      <c r="DO240" s="68"/>
      <c r="DP240" s="68"/>
      <c r="DQ240" s="68"/>
      <c r="DR240" s="68"/>
      <c r="DS240" s="68"/>
      <c r="DT240" s="68"/>
      <c r="DU240" s="68"/>
      <c r="DV240" s="68"/>
      <c r="DW240" s="68"/>
      <c r="DX240" s="68"/>
      <c r="DY240" s="68"/>
      <c r="DZ240" s="68"/>
      <c r="EA240" s="68"/>
      <c r="EB240" s="68"/>
      <c r="EC240" s="68"/>
      <c r="ED240" s="68"/>
      <c r="EE240" s="68"/>
      <c r="EF240" s="68"/>
      <c r="EG240" s="68"/>
      <c r="EH240" s="68"/>
      <c r="EI240" s="68"/>
      <c r="EJ240" s="68"/>
      <c r="EK240" s="68"/>
      <c r="EL240" s="68"/>
      <c r="EM240" s="68"/>
      <c r="EN240" s="68"/>
      <c r="EO240" s="68"/>
      <c r="EP240" s="68"/>
      <c r="EQ240" s="68"/>
      <c r="ER240" s="3"/>
      <c r="ES240" s="3"/>
      <c r="EV240" s="350"/>
      <c r="EW240" s="350"/>
      <c r="EX240" s="1"/>
      <c r="EY240" s="1"/>
      <c r="EZ240" s="350"/>
      <c r="FB240" s="1"/>
    </row>
    <row r="241" spans="3:158" ht="20.25" customHeight="1" x14ac:dyDescent="0.25">
      <c r="C241" s="1"/>
      <c r="D241" s="102"/>
      <c r="E241" s="102"/>
      <c r="F241" s="103"/>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113"/>
      <c r="AO241" s="68"/>
      <c r="AP241" s="68"/>
      <c r="AQ241" s="68"/>
      <c r="AR241" s="68"/>
      <c r="AS241" s="68"/>
      <c r="AT241" s="66"/>
      <c r="AU241" s="68"/>
      <c r="AV241" s="68"/>
      <c r="AW241" s="68"/>
      <c r="AX241" s="66"/>
      <c r="AY241" s="68"/>
      <c r="AZ241" s="66"/>
      <c r="BA241" s="68"/>
      <c r="BB241" s="68"/>
      <c r="BC241" s="68"/>
      <c r="BD241" s="68"/>
      <c r="BE241" s="68"/>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8"/>
      <c r="CG241" s="68"/>
      <c r="CH241" s="66"/>
      <c r="CI241" s="66"/>
      <c r="CJ241" s="68"/>
      <c r="CK241" s="68"/>
      <c r="CL241" s="68"/>
      <c r="CM241" s="68"/>
      <c r="CN241" s="66"/>
      <c r="CO241" s="68"/>
      <c r="CP241" s="66"/>
      <c r="CQ241" s="68"/>
      <c r="CR241" s="68"/>
      <c r="CS241" s="68"/>
      <c r="CT241" s="68"/>
      <c r="CU241" s="68"/>
      <c r="CV241" s="68"/>
      <c r="CW241" s="68"/>
      <c r="CX241" s="68"/>
      <c r="CY241" s="68"/>
      <c r="CZ241" s="68"/>
      <c r="DA241" s="68"/>
      <c r="DB241" s="68"/>
      <c r="DC241" s="68"/>
      <c r="DD241" s="68"/>
      <c r="DE241" s="68"/>
      <c r="DF241" s="68"/>
      <c r="DG241" s="68"/>
      <c r="DH241" s="68"/>
      <c r="DI241" s="68"/>
      <c r="DJ241" s="68"/>
      <c r="DK241" s="68"/>
      <c r="DL241" s="68"/>
      <c r="DM241" s="68"/>
      <c r="DN241" s="68"/>
      <c r="DO241" s="68"/>
      <c r="DP241" s="68"/>
      <c r="DQ241" s="68"/>
      <c r="DR241" s="68"/>
      <c r="DS241" s="68"/>
      <c r="DT241" s="68"/>
      <c r="DU241" s="68"/>
      <c r="DV241" s="68"/>
      <c r="DW241" s="68"/>
      <c r="DX241" s="68"/>
      <c r="DY241" s="68"/>
      <c r="DZ241" s="68"/>
      <c r="EA241" s="68"/>
      <c r="EB241" s="68"/>
      <c r="EC241" s="68"/>
      <c r="ED241" s="68"/>
      <c r="EE241" s="68"/>
      <c r="EF241" s="68"/>
      <c r="EG241" s="68"/>
      <c r="EH241" s="68"/>
      <c r="EI241" s="68"/>
      <c r="EJ241" s="68"/>
      <c r="EK241" s="68"/>
      <c r="EL241" s="68"/>
      <c r="EM241" s="68"/>
      <c r="EN241" s="68"/>
      <c r="EO241" s="68"/>
      <c r="EP241" s="68"/>
      <c r="EQ241" s="68"/>
      <c r="ER241" s="3"/>
      <c r="ES241" s="3"/>
      <c r="EV241" s="350"/>
      <c r="EW241" s="350"/>
      <c r="EX241" s="1"/>
      <c r="EY241" s="1"/>
      <c r="EZ241" s="350"/>
      <c r="FB241" s="1"/>
    </row>
    <row r="242" spans="3:158" ht="20.25" customHeight="1" x14ac:dyDescent="0.25">
      <c r="C242" s="1"/>
      <c r="D242" s="102"/>
      <c r="E242" s="102"/>
      <c r="F242" s="103"/>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113"/>
      <c r="AO242" s="68"/>
      <c r="AP242" s="68"/>
      <c r="AQ242" s="68"/>
      <c r="AR242" s="68"/>
      <c r="AS242" s="68"/>
      <c r="AT242" s="66"/>
      <c r="AU242" s="68"/>
      <c r="AV242" s="68"/>
      <c r="AW242" s="68"/>
      <c r="AX242" s="66"/>
      <c r="AY242" s="68"/>
      <c r="AZ242" s="66"/>
      <c r="BA242" s="68"/>
      <c r="BB242" s="68"/>
      <c r="BC242" s="68"/>
      <c r="BD242" s="68"/>
      <c r="BE242" s="68"/>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8"/>
      <c r="CG242" s="68"/>
      <c r="CH242" s="66"/>
      <c r="CI242" s="66"/>
      <c r="CJ242" s="68"/>
      <c r="CK242" s="68"/>
      <c r="CL242" s="68"/>
      <c r="CM242" s="68"/>
      <c r="CN242" s="66"/>
      <c r="CO242" s="68"/>
      <c r="CP242" s="66"/>
      <c r="CQ242" s="68"/>
      <c r="CR242" s="68"/>
      <c r="CS242" s="68"/>
      <c r="CT242" s="68"/>
      <c r="CU242" s="68"/>
      <c r="CV242" s="68"/>
      <c r="CW242" s="68"/>
      <c r="CX242" s="68"/>
      <c r="CY242" s="68"/>
      <c r="CZ242" s="68"/>
      <c r="DA242" s="68"/>
      <c r="DB242" s="68"/>
      <c r="DC242" s="68"/>
      <c r="DD242" s="68"/>
      <c r="DE242" s="68"/>
      <c r="DF242" s="68"/>
      <c r="DG242" s="68"/>
      <c r="DH242" s="68"/>
      <c r="DI242" s="68"/>
      <c r="DJ242" s="68"/>
      <c r="DK242" s="68"/>
      <c r="DL242" s="68"/>
      <c r="DM242" s="68"/>
      <c r="DN242" s="68"/>
      <c r="DO242" s="68"/>
      <c r="DP242" s="68"/>
      <c r="DQ242" s="68"/>
      <c r="DR242" s="68"/>
      <c r="DS242" s="68"/>
      <c r="DT242" s="68"/>
      <c r="DU242" s="68"/>
      <c r="DV242" s="68"/>
      <c r="DW242" s="68"/>
      <c r="DX242" s="68"/>
      <c r="DY242" s="68"/>
      <c r="DZ242" s="68"/>
      <c r="EA242" s="68"/>
      <c r="EB242" s="68"/>
      <c r="EC242" s="68"/>
      <c r="ED242" s="68"/>
      <c r="EE242" s="68"/>
      <c r="EF242" s="68"/>
      <c r="EG242" s="68"/>
      <c r="EH242" s="68"/>
      <c r="EI242" s="68"/>
      <c r="EJ242" s="68"/>
      <c r="EK242" s="68"/>
      <c r="EL242" s="68"/>
      <c r="EM242" s="68"/>
      <c r="EN242" s="68"/>
      <c r="EO242" s="68"/>
      <c r="EP242" s="68"/>
      <c r="EQ242" s="68"/>
      <c r="ER242" s="3"/>
      <c r="ES242" s="3"/>
      <c r="EV242" s="350"/>
      <c r="EW242" s="350"/>
      <c r="EX242" s="1"/>
      <c r="EY242" s="1"/>
      <c r="EZ242" s="350"/>
      <c r="FB242" s="1"/>
    </row>
    <row r="243" spans="3:158" ht="20.25" customHeight="1" x14ac:dyDescent="0.25">
      <c r="C243" s="1"/>
      <c r="D243" s="102"/>
      <c r="E243" s="102"/>
      <c r="F243" s="103"/>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113"/>
      <c r="AO243" s="68"/>
      <c r="AP243" s="68"/>
      <c r="AQ243" s="68"/>
      <c r="AR243" s="68"/>
      <c r="AS243" s="68"/>
      <c r="AT243" s="66"/>
      <c r="AU243" s="68"/>
      <c r="AV243" s="68"/>
      <c r="AW243" s="68"/>
      <c r="AX243" s="66"/>
      <c r="AY243" s="68"/>
      <c r="AZ243" s="66"/>
      <c r="BA243" s="68"/>
      <c r="BB243" s="68"/>
      <c r="BC243" s="68"/>
      <c r="BD243" s="68"/>
      <c r="BE243" s="68"/>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8"/>
      <c r="CG243" s="68"/>
      <c r="CH243" s="66"/>
      <c r="CI243" s="66"/>
      <c r="CJ243" s="68"/>
      <c r="CK243" s="68"/>
      <c r="CL243" s="68"/>
      <c r="CM243" s="68"/>
      <c r="CN243" s="66"/>
      <c r="CO243" s="68"/>
      <c r="CP243" s="66"/>
      <c r="CQ243" s="68"/>
      <c r="CR243" s="68"/>
      <c r="CS243" s="68"/>
      <c r="CT243" s="68"/>
      <c r="CU243" s="68"/>
      <c r="CV243" s="68"/>
      <c r="CW243" s="68"/>
      <c r="CX243" s="68"/>
      <c r="CY243" s="68"/>
      <c r="CZ243" s="68"/>
      <c r="DA243" s="68"/>
      <c r="DB243" s="68"/>
      <c r="DC243" s="68"/>
      <c r="DD243" s="68"/>
      <c r="DE243" s="68"/>
      <c r="DF243" s="68"/>
      <c r="DG243" s="68"/>
      <c r="DH243" s="68"/>
      <c r="DI243" s="68"/>
      <c r="DJ243" s="68"/>
      <c r="DK243" s="68"/>
      <c r="DL243" s="68"/>
      <c r="DM243" s="68"/>
      <c r="DN243" s="68"/>
      <c r="DO243" s="68"/>
      <c r="DP243" s="68"/>
      <c r="DQ243" s="68"/>
      <c r="DR243" s="68"/>
      <c r="DS243" s="68"/>
      <c r="DT243" s="68"/>
      <c r="DU243" s="68"/>
      <c r="DV243" s="68"/>
      <c r="DW243" s="68"/>
      <c r="DX243" s="68"/>
      <c r="DY243" s="68"/>
      <c r="DZ243" s="68"/>
      <c r="EA243" s="68"/>
      <c r="EB243" s="68"/>
      <c r="EC243" s="68"/>
      <c r="ED243" s="68"/>
      <c r="EE243" s="68"/>
      <c r="EF243" s="68"/>
      <c r="EG243" s="68"/>
      <c r="EH243" s="68"/>
      <c r="EI243" s="68"/>
      <c r="EJ243" s="68"/>
      <c r="EK243" s="68"/>
      <c r="EL243" s="68"/>
      <c r="EM243" s="68"/>
      <c r="EN243" s="68"/>
      <c r="EO243" s="68"/>
      <c r="EP243" s="68"/>
      <c r="EQ243" s="68"/>
      <c r="ER243" s="3"/>
      <c r="ES243" s="3"/>
      <c r="EV243" s="350"/>
      <c r="EW243" s="350"/>
      <c r="EX243" s="1"/>
      <c r="EY243" s="1"/>
      <c r="EZ243" s="350"/>
      <c r="FB243" s="1"/>
    </row>
    <row r="244" spans="3:158" ht="15" customHeight="1" x14ac:dyDescent="0.25">
      <c r="EV244" s="350"/>
      <c r="EW244" s="350"/>
      <c r="EX244" s="1"/>
      <c r="EY244" s="1"/>
      <c r="EZ244" s="350"/>
    </row>
    <row r="245" spans="3:158" ht="15" customHeight="1" x14ac:dyDescent="0.25">
      <c r="EV245" s="350"/>
      <c r="EW245" s="350"/>
      <c r="EX245" s="1"/>
      <c r="EY245" s="1"/>
      <c r="EZ245" s="350"/>
    </row>
    <row r="246" spans="3:158" ht="15" customHeight="1" x14ac:dyDescent="0.25">
      <c r="EV246" s="350"/>
      <c r="EW246" s="350"/>
      <c r="EX246" s="1"/>
      <c r="EY246" s="1"/>
      <c r="EZ246" s="350"/>
    </row>
    <row r="247" spans="3:158" ht="15" customHeight="1" x14ac:dyDescent="0.25">
      <c r="EV247" s="350"/>
      <c r="EW247" s="350"/>
      <c r="EX247" s="1"/>
      <c r="EY247" s="1"/>
      <c r="EZ247" s="350"/>
    </row>
    <row r="248" spans="3:158" ht="15" customHeight="1" x14ac:dyDescent="0.25">
      <c r="EV248" s="350"/>
      <c r="EW248" s="350"/>
      <c r="EX248" s="1"/>
      <c r="EY248" s="1"/>
      <c r="EZ248" s="350"/>
    </row>
    <row r="249" spans="3:158" ht="15" customHeight="1" x14ac:dyDescent="0.25">
      <c r="EV249" s="350"/>
      <c r="EW249" s="350"/>
      <c r="EX249" s="1"/>
      <c r="EY249" s="1"/>
      <c r="EZ249" s="350"/>
    </row>
    <row r="250" spans="3:158" ht="15" customHeight="1" x14ac:dyDescent="0.25">
      <c r="EV250" s="350"/>
      <c r="EW250" s="350"/>
      <c r="EX250" s="1"/>
      <c r="EY250" s="1"/>
      <c r="EZ250" s="350"/>
    </row>
    <row r="251" spans="3:158" ht="15" customHeight="1" x14ac:dyDescent="0.25">
      <c r="EV251" s="350"/>
      <c r="EW251" s="350"/>
      <c r="EX251" s="1"/>
      <c r="EY251" s="1"/>
      <c r="EZ251" s="350"/>
    </row>
    <row r="252" spans="3:158" ht="15" customHeight="1" x14ac:dyDescent="0.25">
      <c r="EV252" s="350"/>
      <c r="EW252" s="350"/>
      <c r="EX252" s="1"/>
      <c r="EY252" s="1"/>
      <c r="EZ252" s="350"/>
    </row>
    <row r="253" spans="3:158" ht="15" customHeight="1" x14ac:dyDescent="0.25">
      <c r="EV253" s="350"/>
      <c r="EW253" s="350"/>
      <c r="EX253" s="1"/>
      <c r="EY253" s="1"/>
      <c r="EZ253" s="350"/>
    </row>
    <row r="254" spans="3:158" ht="15" customHeight="1" x14ac:dyDescent="0.25">
      <c r="EV254" s="350"/>
      <c r="EW254" s="350"/>
      <c r="EX254" s="1"/>
      <c r="EY254" s="1"/>
      <c r="EZ254" s="350"/>
    </row>
    <row r="255" spans="3:158" ht="15" customHeight="1" x14ac:dyDescent="0.25">
      <c r="EV255" s="350"/>
      <c r="EW255" s="350"/>
      <c r="EX255" s="1"/>
      <c r="EY255" s="1"/>
      <c r="EZ255" s="350"/>
    </row>
    <row r="256" spans="3:158" ht="15" customHeight="1" x14ac:dyDescent="0.25">
      <c r="EV256" s="350"/>
      <c r="EW256" s="350"/>
      <c r="EX256" s="1"/>
      <c r="EY256" s="1"/>
      <c r="EZ256" s="350"/>
    </row>
    <row r="257" spans="152:156" ht="15" customHeight="1" x14ac:dyDescent="0.25">
      <c r="EV257" s="350"/>
      <c r="EW257" s="350"/>
      <c r="EX257" s="1"/>
      <c r="EY257" s="1"/>
      <c r="EZ257" s="350"/>
    </row>
    <row r="258" spans="152:156" ht="15" customHeight="1" x14ac:dyDescent="0.25">
      <c r="EV258" s="350"/>
      <c r="EW258" s="350"/>
      <c r="EX258" s="1"/>
      <c r="EY258" s="1"/>
      <c r="EZ258" s="350"/>
    </row>
    <row r="259" spans="152:156" ht="15" customHeight="1" x14ac:dyDescent="0.25">
      <c r="EV259" s="350"/>
      <c r="EW259" s="350"/>
      <c r="EX259" s="1"/>
      <c r="EY259" s="1"/>
      <c r="EZ259" s="350"/>
    </row>
    <row r="260" spans="152:156" ht="15" customHeight="1" x14ac:dyDescent="0.25">
      <c r="EV260" s="350"/>
      <c r="EW260" s="350"/>
      <c r="EX260" s="1"/>
      <c r="EY260" s="1"/>
      <c r="EZ260" s="350"/>
    </row>
    <row r="261" spans="152:156" ht="15" customHeight="1" x14ac:dyDescent="0.25">
      <c r="EV261" s="350"/>
      <c r="EW261" s="350"/>
      <c r="EX261" s="1"/>
      <c r="EY261" s="1"/>
      <c r="EZ261" s="350"/>
    </row>
    <row r="262" spans="152:156" ht="15" customHeight="1" x14ac:dyDescent="0.25">
      <c r="EV262" s="350"/>
      <c r="EW262" s="350"/>
      <c r="EX262" s="1"/>
      <c r="EY262" s="1"/>
      <c r="EZ262" s="350"/>
    </row>
    <row r="263" spans="152:156" ht="15" customHeight="1" x14ac:dyDescent="0.25">
      <c r="EV263" s="350"/>
      <c r="EW263" s="350"/>
      <c r="EX263" s="1"/>
      <c r="EY263" s="1"/>
      <c r="EZ263" s="350"/>
    </row>
    <row r="264" spans="152:156" ht="15" customHeight="1" x14ac:dyDescent="0.25">
      <c r="EV264" s="350"/>
      <c r="EW264" s="350"/>
      <c r="EX264" s="1"/>
      <c r="EY264" s="1"/>
      <c r="EZ264" s="350"/>
    </row>
    <row r="265" spans="152:156" ht="15" customHeight="1" x14ac:dyDescent="0.25">
      <c r="EV265" s="350"/>
      <c r="EW265" s="350"/>
      <c r="EX265" s="1"/>
      <c r="EY265" s="1"/>
      <c r="EZ265" s="350"/>
    </row>
    <row r="266" spans="152:156" ht="15" customHeight="1" x14ac:dyDescent="0.25">
      <c r="EV266" s="350"/>
      <c r="EW266" s="350"/>
      <c r="EX266" s="1"/>
      <c r="EY266" s="1"/>
      <c r="EZ266" s="350"/>
    </row>
    <row r="267" spans="152:156" ht="15" customHeight="1" x14ac:dyDescent="0.25">
      <c r="EV267" s="350"/>
      <c r="EW267" s="350"/>
      <c r="EX267" s="1"/>
      <c r="EY267" s="1"/>
      <c r="EZ267" s="350"/>
    </row>
    <row r="268" spans="152:156" ht="15" customHeight="1" x14ac:dyDescent="0.25">
      <c r="EV268" s="350"/>
      <c r="EW268" s="350"/>
      <c r="EX268" s="1"/>
      <c r="EY268" s="1"/>
      <c r="EZ268" s="350"/>
    </row>
    <row r="269" spans="152:156" ht="15" customHeight="1" x14ac:dyDescent="0.25">
      <c r="EV269" s="350"/>
      <c r="EW269" s="350"/>
      <c r="EX269" s="1"/>
      <c r="EY269" s="1"/>
      <c r="EZ269" s="350"/>
    </row>
    <row r="270" spans="152:156" ht="15" customHeight="1" x14ac:dyDescent="0.25">
      <c r="EV270" s="350"/>
      <c r="EW270" s="350"/>
      <c r="EX270" s="1"/>
      <c r="EY270" s="1"/>
      <c r="EZ270" s="350"/>
    </row>
    <row r="271" spans="152:156" ht="15" customHeight="1" x14ac:dyDescent="0.25">
      <c r="EV271" s="350"/>
      <c r="EW271" s="350"/>
      <c r="EX271" s="1"/>
      <c r="EY271" s="1"/>
      <c r="EZ271" s="350"/>
    </row>
    <row r="272" spans="152:156" ht="15" customHeight="1" x14ac:dyDescent="0.25">
      <c r="EV272" s="350"/>
      <c r="EW272" s="350"/>
      <c r="EX272" s="1"/>
      <c r="EY272" s="1"/>
      <c r="EZ272" s="350"/>
    </row>
    <row r="273" spans="152:156" ht="15" customHeight="1" x14ac:dyDescent="0.25">
      <c r="EV273" s="350"/>
      <c r="EW273" s="350"/>
      <c r="EX273" s="1"/>
      <c r="EY273" s="1"/>
      <c r="EZ273" s="350"/>
    </row>
    <row r="274" spans="152:156" ht="15" customHeight="1" x14ac:dyDescent="0.25">
      <c r="EV274" s="350"/>
      <c r="EW274" s="350"/>
      <c r="EX274" s="1"/>
      <c r="EY274" s="1"/>
      <c r="EZ274" s="350"/>
    </row>
    <row r="275" spans="152:156" ht="15" customHeight="1" x14ac:dyDescent="0.25">
      <c r="EV275" s="350"/>
      <c r="EW275" s="350"/>
      <c r="EX275" s="1"/>
      <c r="EY275" s="1"/>
      <c r="EZ275" s="350"/>
    </row>
    <row r="276" spans="152:156" ht="15" customHeight="1" x14ac:dyDescent="0.25">
      <c r="EV276" s="350"/>
      <c r="EW276" s="350"/>
      <c r="EX276" s="1"/>
      <c r="EY276" s="1"/>
      <c r="EZ276" s="350"/>
    </row>
    <row r="277" spans="152:156" ht="15" customHeight="1" x14ac:dyDescent="0.25">
      <c r="EV277" s="350"/>
      <c r="EW277" s="350"/>
      <c r="EX277" s="1"/>
      <c r="EY277" s="1"/>
      <c r="EZ277" s="350"/>
    </row>
    <row r="278" spans="152:156" ht="15" customHeight="1" x14ac:dyDescent="0.25">
      <c r="EV278" s="350"/>
      <c r="EW278" s="350"/>
      <c r="EX278" s="1"/>
      <c r="EY278" s="1"/>
      <c r="EZ278" s="350"/>
    </row>
    <row r="279" spans="152:156" ht="15" customHeight="1" x14ac:dyDescent="0.25">
      <c r="EV279" s="350"/>
      <c r="EW279" s="350"/>
      <c r="EX279" s="1"/>
      <c r="EY279" s="1"/>
      <c r="EZ279" s="350"/>
    </row>
    <row r="280" spans="152:156" ht="15" customHeight="1" x14ac:dyDescent="0.25">
      <c r="EV280" s="350"/>
      <c r="EW280" s="350"/>
      <c r="EX280" s="1"/>
      <c r="EY280" s="1"/>
      <c r="EZ280" s="350"/>
    </row>
    <row r="281" spans="152:156" ht="15" customHeight="1" x14ac:dyDescent="0.25">
      <c r="EV281" s="350"/>
      <c r="EW281" s="350"/>
      <c r="EX281" s="1"/>
      <c r="EY281" s="1"/>
      <c r="EZ281" s="350"/>
    </row>
    <row r="282" spans="152:156" ht="15" customHeight="1" x14ac:dyDescent="0.25">
      <c r="EV282" s="350"/>
      <c r="EW282" s="350"/>
      <c r="EX282" s="1"/>
      <c r="EY282" s="1"/>
      <c r="EZ282" s="350"/>
    </row>
    <row r="283" spans="152:156" ht="15" customHeight="1" x14ac:dyDescent="0.25">
      <c r="EV283" s="350"/>
      <c r="EW283" s="350"/>
      <c r="EX283" s="1"/>
      <c r="EY283" s="1"/>
      <c r="EZ283" s="350"/>
    </row>
    <row r="284" spans="152:156" ht="15" customHeight="1" x14ac:dyDescent="0.25">
      <c r="EV284" s="350"/>
      <c r="EW284" s="350"/>
      <c r="EX284" s="1"/>
      <c r="EY284" s="1"/>
      <c r="EZ284" s="350"/>
    </row>
    <row r="285" spans="152:156" ht="15" customHeight="1" x14ac:dyDescent="0.25">
      <c r="EV285" s="350"/>
      <c r="EW285" s="350"/>
      <c r="EX285" s="1"/>
      <c r="EY285" s="1"/>
      <c r="EZ285" s="350"/>
    </row>
    <row r="286" spans="152:156" ht="15" customHeight="1" x14ac:dyDescent="0.25">
      <c r="EV286" s="350"/>
      <c r="EW286" s="350"/>
      <c r="EX286" s="1"/>
      <c r="EY286" s="1"/>
      <c r="EZ286" s="350"/>
    </row>
    <row r="287" spans="152:156" ht="15" customHeight="1" x14ac:dyDescent="0.25">
      <c r="EV287" s="350"/>
      <c r="EW287" s="350"/>
      <c r="EX287" s="1"/>
      <c r="EY287" s="1"/>
      <c r="EZ287" s="350"/>
    </row>
    <row r="288" spans="152:156" ht="15" customHeight="1" x14ac:dyDescent="0.25">
      <c r="EV288" s="350"/>
      <c r="EW288" s="350"/>
      <c r="EX288" s="1"/>
      <c r="EY288" s="1"/>
      <c r="EZ288" s="350"/>
    </row>
    <row r="289" spans="152:156" ht="15" customHeight="1" x14ac:dyDescent="0.25">
      <c r="EV289" s="350"/>
      <c r="EW289" s="350"/>
      <c r="EX289" s="1"/>
      <c r="EY289" s="1"/>
      <c r="EZ289" s="350"/>
    </row>
    <row r="290" spans="152:156" ht="15" customHeight="1" x14ac:dyDescent="0.25">
      <c r="EV290" s="350"/>
      <c r="EW290" s="350"/>
      <c r="EX290" s="1"/>
      <c r="EY290" s="1"/>
      <c r="EZ290" s="350"/>
    </row>
    <row r="291" spans="152:156" ht="15" customHeight="1" x14ac:dyDescent="0.25">
      <c r="EV291" s="350"/>
      <c r="EW291" s="350"/>
      <c r="EX291" s="1"/>
      <c r="EY291" s="1"/>
      <c r="EZ291" s="350"/>
    </row>
    <row r="292" spans="152:156" ht="15" customHeight="1" x14ac:dyDescent="0.25">
      <c r="EV292" s="350"/>
      <c r="EW292" s="350"/>
      <c r="EX292" s="1"/>
      <c r="EY292" s="1"/>
      <c r="EZ292" s="350"/>
    </row>
    <row r="293" spans="152:156" ht="15" customHeight="1" x14ac:dyDescent="0.25">
      <c r="EV293" s="350"/>
      <c r="EW293" s="350"/>
      <c r="EX293" s="1"/>
      <c r="EY293" s="1"/>
      <c r="EZ293" s="350"/>
    </row>
    <row r="294" spans="152:156" ht="15" customHeight="1" x14ac:dyDescent="0.25">
      <c r="EV294" s="350"/>
      <c r="EW294" s="350"/>
      <c r="EX294" s="1"/>
      <c r="EY294" s="1"/>
      <c r="EZ294" s="350"/>
    </row>
    <row r="295" spans="152:156" ht="15" customHeight="1" x14ac:dyDescent="0.25">
      <c r="EV295" s="350"/>
      <c r="EW295" s="350"/>
      <c r="EX295" s="1"/>
      <c r="EY295" s="1"/>
      <c r="EZ295" s="350"/>
    </row>
    <row r="296" spans="152:156" ht="15" customHeight="1" x14ac:dyDescent="0.25">
      <c r="EV296" s="350"/>
      <c r="EW296" s="350"/>
      <c r="EX296" s="1"/>
      <c r="EY296" s="1"/>
      <c r="EZ296" s="350"/>
    </row>
    <row r="297" spans="152:156" ht="15" customHeight="1" x14ac:dyDescent="0.25">
      <c r="EV297" s="350"/>
      <c r="EW297" s="350"/>
      <c r="EX297" s="1"/>
      <c r="EY297" s="1"/>
      <c r="EZ297" s="350"/>
    </row>
    <row r="298" spans="152:156" ht="15" customHeight="1" x14ac:dyDescent="0.25">
      <c r="EV298" s="350"/>
      <c r="EW298" s="350"/>
      <c r="EX298" s="1"/>
      <c r="EY298" s="1"/>
      <c r="EZ298" s="350"/>
    </row>
    <row r="299" spans="152:156" ht="15" customHeight="1" x14ac:dyDescent="0.25">
      <c r="EV299" s="350"/>
      <c r="EW299" s="350"/>
      <c r="EX299" s="1"/>
      <c r="EY299" s="1"/>
      <c r="EZ299" s="350"/>
    </row>
    <row r="300" spans="152:156" ht="15" customHeight="1" x14ac:dyDescent="0.25">
      <c r="EV300" s="350"/>
      <c r="EW300" s="350"/>
      <c r="EX300" s="1"/>
      <c r="EY300" s="1"/>
      <c r="EZ300" s="350"/>
    </row>
    <row r="301" spans="152:156" ht="15" customHeight="1" x14ac:dyDescent="0.25">
      <c r="EV301" s="350"/>
      <c r="EW301" s="350"/>
      <c r="EX301" s="1"/>
      <c r="EY301" s="1"/>
      <c r="EZ301" s="350"/>
    </row>
    <row r="302" spans="152:156" ht="15" customHeight="1" x14ac:dyDescent="0.25">
      <c r="EV302" s="350"/>
      <c r="EW302" s="350"/>
      <c r="EX302" s="1"/>
      <c r="EY302" s="1"/>
      <c r="EZ302" s="350"/>
    </row>
    <row r="303" spans="152:156" ht="15" customHeight="1" x14ac:dyDescent="0.25">
      <c r="EV303" s="350"/>
      <c r="EW303" s="350"/>
      <c r="EX303" s="1"/>
      <c r="EY303" s="1"/>
      <c r="EZ303" s="350"/>
    </row>
    <row r="304" spans="152:156" ht="15" customHeight="1" x14ac:dyDescent="0.25">
      <c r="EV304" s="350"/>
      <c r="EW304" s="350"/>
      <c r="EX304" s="1"/>
      <c r="EY304" s="1"/>
      <c r="EZ304" s="350"/>
    </row>
    <row r="305" spans="152:156" ht="15" customHeight="1" x14ac:dyDescent="0.25">
      <c r="EV305" s="350"/>
      <c r="EW305" s="350"/>
      <c r="EX305" s="1"/>
      <c r="EY305" s="1"/>
      <c r="EZ305" s="350"/>
    </row>
  </sheetData>
  <mergeCells count="146">
    <mergeCell ref="EW45:EW51"/>
    <mergeCell ref="EX45:EX51"/>
    <mergeCell ref="EY45:EY51"/>
    <mergeCell ref="EZ45:EZ51"/>
    <mergeCell ref="FA45:FA51"/>
    <mergeCell ref="FB45:FB51"/>
    <mergeCell ref="EX24:EX30"/>
    <mergeCell ref="EY24:EY30"/>
    <mergeCell ref="EW31:EW37"/>
    <mergeCell ref="EX31:EX37"/>
    <mergeCell ref="EY31:EY37"/>
    <mergeCell ref="EX38:EX44"/>
    <mergeCell ref="EY38:EY44"/>
    <mergeCell ref="EW10:EW16"/>
    <mergeCell ref="EX10:EX16"/>
    <mergeCell ref="EZ24:EZ30"/>
    <mergeCell ref="FA24:FA30"/>
    <mergeCell ref="EZ31:EZ37"/>
    <mergeCell ref="FA31:FA37"/>
    <mergeCell ref="FB31:FB37"/>
    <mergeCell ref="EZ38:EZ44"/>
    <mergeCell ref="FA38:FA44"/>
    <mergeCell ref="FB38:FB44"/>
    <mergeCell ref="EW17:EW23"/>
    <mergeCell ref="EX17:EX23"/>
    <mergeCell ref="EY17:EY23"/>
    <mergeCell ref="EZ17:EZ23"/>
    <mergeCell ref="FA17:FA23"/>
    <mergeCell ref="FB17:FB23"/>
    <mergeCell ref="EW24:EW30"/>
    <mergeCell ref="FB24:FB30"/>
    <mergeCell ref="EW38:EW44"/>
    <mergeCell ref="FA10:FA16"/>
    <mergeCell ref="FB10:FB16"/>
    <mergeCell ref="ER80:FA82"/>
    <mergeCell ref="EW52:EW58"/>
    <mergeCell ref="EX52:EX58"/>
    <mergeCell ref="EY52:EY58"/>
    <mergeCell ref="EZ52:EZ58"/>
    <mergeCell ref="FA52:FA58"/>
    <mergeCell ref="FB52:FB58"/>
    <mergeCell ref="EW59:EW65"/>
    <mergeCell ref="FB59:FB65"/>
    <mergeCell ref="EW66:EW72"/>
    <mergeCell ref="EW73:EW79"/>
    <mergeCell ref="EX73:EX79"/>
    <mergeCell ref="EY73:EY79"/>
    <mergeCell ref="EZ73:EZ79"/>
    <mergeCell ref="FA73:FA79"/>
    <mergeCell ref="FB73:FB79"/>
    <mergeCell ref="EX59:EX65"/>
    <mergeCell ref="EY59:EY65"/>
    <mergeCell ref="EX66:EX72"/>
    <mergeCell ref="EY66:EY72"/>
    <mergeCell ref="EZ66:EZ72"/>
    <mergeCell ref="FA66:FA72"/>
    <mergeCell ref="FB66:FB72"/>
    <mergeCell ref="A10:A30"/>
    <mergeCell ref="B45:B51"/>
    <mergeCell ref="C45:C51"/>
    <mergeCell ref="D45:D51"/>
    <mergeCell ref="E45:E51"/>
    <mergeCell ref="B52:B58"/>
    <mergeCell ref="C52:C58"/>
    <mergeCell ref="D52:D58"/>
    <mergeCell ref="E52:E58"/>
    <mergeCell ref="A31:A65"/>
    <mergeCell ref="B31:B37"/>
    <mergeCell ref="C31:C37"/>
    <mergeCell ref="B38:B44"/>
    <mergeCell ref="C38:C44"/>
    <mergeCell ref="D31:D37"/>
    <mergeCell ref="D38:D44"/>
    <mergeCell ref="B10:B16"/>
    <mergeCell ref="C10:C16"/>
    <mergeCell ref="B59:B65"/>
    <mergeCell ref="C59:C65"/>
    <mergeCell ref="D59:D65"/>
    <mergeCell ref="E59:E65"/>
    <mergeCell ref="B24:B30"/>
    <mergeCell ref="C24:C30"/>
    <mergeCell ref="E66:E72"/>
    <mergeCell ref="B73:B79"/>
    <mergeCell ref="C73:C79"/>
    <mergeCell ref="A80:E82"/>
    <mergeCell ref="M88:U88"/>
    <mergeCell ref="AP100:AQ100"/>
    <mergeCell ref="AR100:AS100"/>
    <mergeCell ref="AT100:AU100"/>
    <mergeCell ref="AV100:AW100"/>
    <mergeCell ref="D73:D79"/>
    <mergeCell ref="E73:E79"/>
    <mergeCell ref="G86:L86"/>
    <mergeCell ref="M86:U86"/>
    <mergeCell ref="G87:L87"/>
    <mergeCell ref="M87:U87"/>
    <mergeCell ref="G88:L88"/>
    <mergeCell ref="A66:A79"/>
    <mergeCell ref="B66:B72"/>
    <mergeCell ref="C66:C72"/>
    <mergeCell ref="D66:D72"/>
    <mergeCell ref="D10:D16"/>
    <mergeCell ref="E10:E16"/>
    <mergeCell ref="B17:B23"/>
    <mergeCell ref="C17:C23"/>
    <mergeCell ref="D17:D23"/>
    <mergeCell ref="E17:E23"/>
    <mergeCell ref="D24:D30"/>
    <mergeCell ref="E24:E30"/>
    <mergeCell ref="E31:E37"/>
    <mergeCell ref="E38:E44"/>
    <mergeCell ref="EZ59:EZ65"/>
    <mergeCell ref="FA59:FA65"/>
    <mergeCell ref="EY10:EY16"/>
    <mergeCell ref="EZ10:EZ16"/>
    <mergeCell ref="CJ8:DM8"/>
    <mergeCell ref="DN8:EQ8"/>
    <mergeCell ref="CW4:DO4"/>
    <mergeCell ref="DP4:EH4"/>
    <mergeCell ref="ER7:ER9"/>
    <mergeCell ref="ES7:ES9"/>
    <mergeCell ref="ET7:ET9"/>
    <mergeCell ref="EU7:EU9"/>
    <mergeCell ref="EV7:EV9"/>
    <mergeCell ref="BK4:CC4"/>
    <mergeCell ref="CD4:CV4"/>
    <mergeCell ref="F5:FA5"/>
    <mergeCell ref="H7:EQ7"/>
    <mergeCell ref="A7:G8"/>
    <mergeCell ref="H8:AA8"/>
    <mergeCell ref="AB8:BE8"/>
    <mergeCell ref="BF8:CI8"/>
    <mergeCell ref="EW7:EW9"/>
    <mergeCell ref="EX7:EX9"/>
    <mergeCell ref="EY7:EY9"/>
    <mergeCell ref="EZ7:EZ9"/>
    <mergeCell ref="FA7:FA9"/>
    <mergeCell ref="A1:E3"/>
    <mergeCell ref="F1:FA1"/>
    <mergeCell ref="F2:FA2"/>
    <mergeCell ref="F3:EQ3"/>
    <mergeCell ref="ER3:FA3"/>
    <mergeCell ref="F4:BJ4"/>
    <mergeCell ref="EI4:FA4"/>
    <mergeCell ref="A4:E4"/>
    <mergeCell ref="A5:E5"/>
  </mergeCells>
  <dataValidations count="2">
    <dataValidation type="custom" allowBlank="1" showErrorMessage="1" sqref="EW10 EW17 EW24 EW31 EW38 EW45 EW52 EW59 EW73" xr:uid="{00000000-0002-0000-0100-000000000000}">
      <formula1>LTE(LEN(EW10),(2000))</formula1>
    </dataValidation>
    <dataValidation type="custom" allowBlank="1" showErrorMessage="1" sqref="EX17:FA17 EX24:FA24 EX73:FA73 EX31:FA31 EX38:FA38 EX45:FA45 EX52:FA52 EX59:FA59 EX10:FA10" xr:uid="{00000000-0002-0000-0100-000001000000}">
      <formula1>LTE(LEN(EX10),(500))</formula1>
    </dataValidation>
  </dataValidations>
  <printOptions horizontalCentered="1" verticalCentered="1"/>
  <pageMargins left="0" right="0" top="0.74803149606299213" bottom="0" header="0" footer="0"/>
  <pageSetup scale="2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1000"/>
  <sheetViews>
    <sheetView showGridLines="0" topLeftCell="A3" zoomScale="68" zoomScaleNormal="68" workbookViewId="0">
      <selection activeCell="F11" sqref="F11"/>
    </sheetView>
  </sheetViews>
  <sheetFormatPr baseColWidth="10" defaultColWidth="14.42578125" defaultRowHeight="15" customHeight="1" x14ac:dyDescent="0.25"/>
  <cols>
    <col min="1" max="1" width="14.7109375" customWidth="1"/>
    <col min="2" max="2" width="21.28515625" customWidth="1"/>
    <col min="3" max="3" width="29" customWidth="1"/>
    <col min="4" max="4" width="7.140625" customWidth="1"/>
    <col min="5" max="5" width="8.42578125" customWidth="1"/>
    <col min="6" max="6" width="10.42578125" customWidth="1"/>
    <col min="7" max="7" width="7.7109375" customWidth="1"/>
    <col min="8" max="8" width="8.140625" customWidth="1"/>
    <col min="9" max="9" width="7.85546875" customWidth="1"/>
    <col min="10" max="10" width="8.28515625" customWidth="1"/>
    <col min="11" max="17" width="7.7109375" customWidth="1"/>
    <col min="18" max="18" width="7.42578125" customWidth="1"/>
    <col min="19" max="19" width="9.28515625" customWidth="1"/>
    <col min="20" max="20" width="11.42578125" customWidth="1"/>
    <col min="21" max="21" width="13.140625" customWidth="1"/>
    <col min="22" max="22" width="58.5703125" customWidth="1"/>
    <col min="23" max="41" width="10.7109375" customWidth="1"/>
  </cols>
  <sheetData>
    <row r="1" spans="1:41" ht="39.75" customHeight="1" x14ac:dyDescent="0.25">
      <c r="A1" s="720"/>
      <c r="B1" s="670"/>
      <c r="C1" s="670"/>
      <c r="D1" s="781" t="s">
        <v>0</v>
      </c>
      <c r="E1" s="679"/>
      <c r="F1" s="679"/>
      <c r="G1" s="679"/>
      <c r="H1" s="679"/>
      <c r="I1" s="679"/>
      <c r="J1" s="679"/>
      <c r="K1" s="679"/>
      <c r="L1" s="679"/>
      <c r="M1" s="679"/>
      <c r="N1" s="679"/>
      <c r="O1" s="679"/>
      <c r="P1" s="679"/>
      <c r="Q1" s="679"/>
      <c r="R1" s="679"/>
      <c r="S1" s="679"/>
      <c r="T1" s="679"/>
      <c r="U1" s="679"/>
      <c r="V1" s="721"/>
      <c r="W1" s="131"/>
      <c r="X1" s="131"/>
      <c r="Y1" s="131"/>
      <c r="Z1" s="131"/>
      <c r="AA1" s="131"/>
      <c r="AB1" s="131"/>
      <c r="AC1" s="131"/>
      <c r="AD1" s="131"/>
      <c r="AE1" s="131"/>
      <c r="AF1" s="131"/>
      <c r="AG1" s="131"/>
      <c r="AH1" s="131"/>
      <c r="AI1" s="131"/>
      <c r="AJ1" s="131"/>
      <c r="AK1" s="131"/>
      <c r="AL1" s="131"/>
      <c r="AM1" s="131"/>
      <c r="AN1" s="131"/>
      <c r="AO1" s="131"/>
    </row>
    <row r="2" spans="1:41" ht="39.75" customHeight="1" x14ac:dyDescent="0.25">
      <c r="A2" s="672"/>
      <c r="B2" s="673"/>
      <c r="C2" s="673"/>
      <c r="D2" s="782" t="s">
        <v>388</v>
      </c>
      <c r="E2" s="711"/>
      <c r="F2" s="711"/>
      <c r="G2" s="711"/>
      <c r="H2" s="711"/>
      <c r="I2" s="711"/>
      <c r="J2" s="711"/>
      <c r="K2" s="711"/>
      <c r="L2" s="711"/>
      <c r="M2" s="711"/>
      <c r="N2" s="711"/>
      <c r="O2" s="711"/>
      <c r="P2" s="711"/>
      <c r="Q2" s="711"/>
      <c r="R2" s="711"/>
      <c r="S2" s="711"/>
      <c r="T2" s="711"/>
      <c r="U2" s="711"/>
      <c r="V2" s="783"/>
      <c r="W2" s="131"/>
      <c r="X2" s="131"/>
      <c r="Y2" s="131"/>
      <c r="Z2" s="131"/>
      <c r="AA2" s="131"/>
      <c r="AB2" s="131"/>
      <c r="AC2" s="131"/>
      <c r="AD2" s="131"/>
      <c r="AE2" s="131"/>
      <c r="AF2" s="131"/>
      <c r="AG2" s="131"/>
      <c r="AH2" s="131"/>
      <c r="AI2" s="131"/>
      <c r="AJ2" s="131"/>
      <c r="AK2" s="131"/>
      <c r="AL2" s="131"/>
      <c r="AM2" s="131"/>
      <c r="AN2" s="131"/>
      <c r="AO2" s="131"/>
    </row>
    <row r="3" spans="1:41" ht="43.5" customHeight="1" x14ac:dyDescent="0.25">
      <c r="A3" s="675"/>
      <c r="B3" s="676"/>
      <c r="C3" s="676"/>
      <c r="D3" s="784" t="s">
        <v>389</v>
      </c>
      <c r="E3" s="682"/>
      <c r="F3" s="682"/>
      <c r="G3" s="682"/>
      <c r="H3" s="682"/>
      <c r="I3" s="682"/>
      <c r="J3" s="682"/>
      <c r="K3" s="682"/>
      <c r="L3" s="682"/>
      <c r="M3" s="682"/>
      <c r="N3" s="682"/>
      <c r="O3" s="682"/>
      <c r="P3" s="682"/>
      <c r="Q3" s="682"/>
      <c r="R3" s="682"/>
      <c r="S3" s="682"/>
      <c r="T3" s="682"/>
      <c r="U3" s="785"/>
      <c r="V3" s="132" t="s">
        <v>390</v>
      </c>
      <c r="W3" s="131"/>
      <c r="X3" s="131"/>
      <c r="Y3" s="131"/>
      <c r="Z3" s="131"/>
      <c r="AA3" s="131"/>
      <c r="AB3" s="131"/>
      <c r="AC3" s="131"/>
      <c r="AD3" s="131"/>
      <c r="AE3" s="131"/>
      <c r="AF3" s="131"/>
      <c r="AG3" s="131"/>
      <c r="AH3" s="131"/>
      <c r="AI3" s="131"/>
      <c r="AJ3" s="131"/>
      <c r="AK3" s="131"/>
      <c r="AL3" s="131"/>
      <c r="AM3" s="131"/>
      <c r="AN3" s="131"/>
      <c r="AO3" s="131"/>
    </row>
    <row r="4" spans="1:41" ht="43.5" customHeight="1" x14ac:dyDescent="0.25">
      <c r="A4" s="689" t="s">
        <v>4</v>
      </c>
      <c r="B4" s="679"/>
      <c r="C4" s="721"/>
      <c r="D4" s="728" t="s">
        <v>209</v>
      </c>
      <c r="E4" s="729"/>
      <c r="F4" s="729"/>
      <c r="G4" s="729"/>
      <c r="H4" s="729"/>
      <c r="I4" s="729"/>
      <c r="J4" s="729"/>
      <c r="K4" s="729"/>
      <c r="L4" s="729"/>
      <c r="M4" s="729"/>
      <c r="N4" s="729"/>
      <c r="O4" s="729"/>
      <c r="P4" s="729"/>
      <c r="Q4" s="729"/>
      <c r="R4" s="729"/>
      <c r="S4" s="729"/>
      <c r="T4" s="729"/>
      <c r="U4" s="729"/>
      <c r="V4" s="730"/>
      <c r="W4" s="131"/>
      <c r="X4" s="131"/>
      <c r="Y4" s="131"/>
      <c r="Z4" s="131"/>
      <c r="AA4" s="131"/>
      <c r="AB4" s="131"/>
      <c r="AC4" s="131"/>
      <c r="AD4" s="131"/>
      <c r="AE4" s="131"/>
      <c r="AF4" s="131"/>
      <c r="AG4" s="131"/>
      <c r="AH4" s="131"/>
      <c r="AI4" s="131"/>
      <c r="AJ4" s="131"/>
      <c r="AK4" s="131"/>
      <c r="AL4" s="131"/>
      <c r="AM4" s="131"/>
      <c r="AN4" s="131"/>
      <c r="AO4" s="131"/>
    </row>
    <row r="5" spans="1:41" ht="43.5" customHeight="1" x14ac:dyDescent="0.25">
      <c r="A5" s="786" t="s">
        <v>5</v>
      </c>
      <c r="B5" s="682"/>
      <c r="C5" s="787"/>
      <c r="D5" s="727" t="s">
        <v>391</v>
      </c>
      <c r="E5" s="685"/>
      <c r="F5" s="685"/>
      <c r="G5" s="685"/>
      <c r="H5" s="685"/>
      <c r="I5" s="685"/>
      <c r="J5" s="685"/>
      <c r="K5" s="685"/>
      <c r="L5" s="685"/>
      <c r="M5" s="685"/>
      <c r="N5" s="685"/>
      <c r="O5" s="685"/>
      <c r="P5" s="685"/>
      <c r="Q5" s="685"/>
      <c r="R5" s="685"/>
      <c r="S5" s="685"/>
      <c r="T5" s="685"/>
      <c r="U5" s="685"/>
      <c r="V5" s="688"/>
      <c r="W5" s="131"/>
      <c r="X5" s="131"/>
      <c r="Y5" s="131"/>
      <c r="Z5" s="131"/>
      <c r="AA5" s="131"/>
      <c r="AB5" s="131"/>
      <c r="AC5" s="131"/>
      <c r="AD5" s="131"/>
      <c r="AE5" s="131"/>
      <c r="AF5" s="131"/>
      <c r="AG5" s="131"/>
      <c r="AH5" s="131"/>
      <c r="AI5" s="131"/>
      <c r="AJ5" s="131"/>
      <c r="AK5" s="131"/>
      <c r="AL5" s="131"/>
      <c r="AM5" s="131"/>
      <c r="AN5" s="131"/>
      <c r="AO5" s="131"/>
    </row>
    <row r="6" spans="1:41" ht="18.75" customHeight="1" x14ac:dyDescent="0.25">
      <c r="A6" s="791"/>
      <c r="B6" s="685"/>
      <c r="C6" s="685"/>
      <c r="D6" s="685"/>
      <c r="E6" s="685"/>
      <c r="F6" s="685"/>
      <c r="G6" s="685"/>
      <c r="H6" s="685"/>
      <c r="I6" s="685"/>
      <c r="J6" s="685"/>
      <c r="K6" s="685"/>
      <c r="L6" s="685"/>
      <c r="M6" s="685"/>
      <c r="N6" s="685"/>
      <c r="O6" s="685"/>
      <c r="P6" s="685"/>
      <c r="Q6" s="685"/>
      <c r="R6" s="685"/>
      <c r="S6" s="685"/>
      <c r="T6" s="685"/>
      <c r="U6" s="685"/>
      <c r="V6" s="688"/>
      <c r="W6" s="131"/>
      <c r="X6" s="131"/>
      <c r="Y6" s="131"/>
      <c r="Z6" s="131"/>
      <c r="AA6" s="131"/>
      <c r="AB6" s="131"/>
      <c r="AC6" s="131"/>
      <c r="AD6" s="131"/>
      <c r="AE6" s="131"/>
      <c r="AF6" s="131"/>
      <c r="AG6" s="131"/>
      <c r="AH6" s="131"/>
      <c r="AI6" s="131"/>
      <c r="AJ6" s="131"/>
      <c r="AK6" s="131"/>
      <c r="AL6" s="131"/>
      <c r="AM6" s="131"/>
      <c r="AN6" s="131"/>
      <c r="AO6" s="131"/>
    </row>
    <row r="7" spans="1:41" ht="42.75" customHeight="1" x14ac:dyDescent="0.25">
      <c r="A7" s="792" t="s">
        <v>392</v>
      </c>
      <c r="B7" s="790" t="s">
        <v>393</v>
      </c>
      <c r="C7" s="790" t="s">
        <v>394</v>
      </c>
      <c r="D7" s="793" t="s">
        <v>395</v>
      </c>
      <c r="E7" s="789"/>
      <c r="F7" s="794" t="s">
        <v>396</v>
      </c>
      <c r="G7" s="679"/>
      <c r="H7" s="679"/>
      <c r="I7" s="679"/>
      <c r="J7" s="679"/>
      <c r="K7" s="679"/>
      <c r="L7" s="679"/>
      <c r="M7" s="679"/>
      <c r="N7" s="679"/>
      <c r="O7" s="679"/>
      <c r="P7" s="679"/>
      <c r="Q7" s="679"/>
      <c r="R7" s="679"/>
      <c r="S7" s="789"/>
      <c r="T7" s="788" t="s">
        <v>397</v>
      </c>
      <c r="U7" s="789"/>
      <c r="V7" s="790" t="s">
        <v>398</v>
      </c>
      <c r="W7" s="133"/>
      <c r="X7" s="133"/>
      <c r="Y7" s="133"/>
      <c r="Z7" s="133"/>
      <c r="AA7" s="133"/>
      <c r="AB7" s="133"/>
      <c r="AC7" s="133"/>
      <c r="AD7" s="133"/>
      <c r="AE7" s="133"/>
      <c r="AF7" s="133"/>
      <c r="AG7" s="133"/>
      <c r="AH7" s="133"/>
      <c r="AI7" s="133"/>
      <c r="AJ7" s="133"/>
      <c r="AK7" s="133"/>
      <c r="AL7" s="133"/>
      <c r="AM7" s="133"/>
      <c r="AN7" s="133"/>
      <c r="AO7" s="133"/>
    </row>
    <row r="8" spans="1:41" ht="36.75" customHeight="1" x14ac:dyDescent="0.25">
      <c r="A8" s="744"/>
      <c r="B8" s="695"/>
      <c r="C8" s="695"/>
      <c r="D8" s="134" t="s">
        <v>399</v>
      </c>
      <c r="E8" s="134" t="s">
        <v>400</v>
      </c>
      <c r="F8" s="135" t="s">
        <v>401</v>
      </c>
      <c r="G8" s="136" t="s">
        <v>402</v>
      </c>
      <c r="H8" s="136" t="s">
        <v>403</v>
      </c>
      <c r="I8" s="136" t="s">
        <v>404</v>
      </c>
      <c r="J8" s="136" t="s">
        <v>405</v>
      </c>
      <c r="K8" s="136" t="s">
        <v>406</v>
      </c>
      <c r="L8" s="136" t="s">
        <v>407</v>
      </c>
      <c r="M8" s="136" t="s">
        <v>408</v>
      </c>
      <c r="N8" s="136" t="s">
        <v>409</v>
      </c>
      <c r="O8" s="136" t="s">
        <v>410</v>
      </c>
      <c r="P8" s="136" t="s">
        <v>411</v>
      </c>
      <c r="Q8" s="136" t="s">
        <v>412</v>
      </c>
      <c r="R8" s="136" t="s">
        <v>413</v>
      </c>
      <c r="S8" s="136" t="s">
        <v>414</v>
      </c>
      <c r="T8" s="137" t="s">
        <v>415</v>
      </c>
      <c r="U8" s="137" t="s">
        <v>416</v>
      </c>
      <c r="V8" s="695"/>
      <c r="W8" s="133"/>
      <c r="X8" s="133"/>
      <c r="Y8" s="133"/>
      <c r="Z8" s="133"/>
      <c r="AA8" s="133"/>
      <c r="AB8" s="133"/>
      <c r="AC8" s="133"/>
      <c r="AD8" s="133"/>
      <c r="AE8" s="133"/>
      <c r="AF8" s="133"/>
      <c r="AG8" s="133"/>
      <c r="AH8" s="133"/>
      <c r="AI8" s="133"/>
      <c r="AJ8" s="133"/>
      <c r="AK8" s="133"/>
      <c r="AL8" s="133"/>
      <c r="AM8" s="133"/>
      <c r="AN8" s="133"/>
      <c r="AO8" s="133"/>
    </row>
    <row r="9" spans="1:41" ht="76.150000000000006" customHeight="1" x14ac:dyDescent="0.25">
      <c r="A9" s="778" t="s">
        <v>343</v>
      </c>
      <c r="B9" s="776" t="s">
        <v>344</v>
      </c>
      <c r="C9" s="777" t="s">
        <v>417</v>
      </c>
      <c r="D9" s="778" t="s">
        <v>418</v>
      </c>
      <c r="E9" s="778"/>
      <c r="F9" s="138" t="s">
        <v>419</v>
      </c>
      <c r="G9" s="396">
        <v>0</v>
      </c>
      <c r="H9" s="396">
        <v>8.9499999999999996E-2</v>
      </c>
      <c r="I9" s="396">
        <v>9.9500000000000005E-2</v>
      </c>
      <c r="J9" s="396">
        <v>8.9499999999999996E-2</v>
      </c>
      <c r="K9" s="396">
        <v>9.9500000000000005E-2</v>
      </c>
      <c r="L9" s="396">
        <v>8.9499999999999996E-2</v>
      </c>
      <c r="M9" s="396">
        <v>9.9500000000000005E-2</v>
      </c>
      <c r="N9" s="396">
        <v>8.9499999999999996E-2</v>
      </c>
      <c r="O9" s="396">
        <v>9.9500000000000005E-2</v>
      </c>
      <c r="P9" s="397">
        <v>8.9499999999999996E-2</v>
      </c>
      <c r="Q9" s="397">
        <v>9.9500000000000005E-2</v>
      </c>
      <c r="R9" s="397">
        <v>5.5E-2</v>
      </c>
      <c r="S9" s="138">
        <f t="shared" ref="S9:S46" si="0">SUM(G9:R9)</f>
        <v>1.0000000000000002</v>
      </c>
      <c r="T9" s="779">
        <v>0.1111</v>
      </c>
      <c r="U9" s="779">
        <f>+T9</f>
        <v>0.1111</v>
      </c>
      <c r="V9" s="774" t="s">
        <v>1359</v>
      </c>
      <c r="W9" s="139"/>
      <c r="X9" s="139"/>
      <c r="Y9" s="139"/>
      <c r="Z9" s="139"/>
      <c r="AA9" s="139"/>
      <c r="AB9" s="139"/>
      <c r="AC9" s="139"/>
      <c r="AD9" s="139"/>
      <c r="AE9" s="139"/>
      <c r="AF9" s="139"/>
      <c r="AG9" s="139"/>
      <c r="AH9" s="139"/>
      <c r="AI9" s="139"/>
      <c r="AJ9" s="139"/>
      <c r="AK9" s="139"/>
      <c r="AL9" s="139"/>
      <c r="AM9" s="139"/>
      <c r="AN9" s="139"/>
      <c r="AO9" s="139"/>
    </row>
    <row r="10" spans="1:41" ht="72.599999999999994" customHeight="1" x14ac:dyDescent="0.25">
      <c r="A10" s="716"/>
      <c r="B10" s="717"/>
      <c r="C10" s="717"/>
      <c r="D10" s="717"/>
      <c r="E10" s="717"/>
      <c r="F10" s="140" t="s">
        <v>420</v>
      </c>
      <c r="G10" s="398">
        <v>0</v>
      </c>
      <c r="H10" s="398">
        <v>8.9499999999999996E-2</v>
      </c>
      <c r="I10" s="398">
        <v>9.9500000000000005E-2</v>
      </c>
      <c r="J10" s="398">
        <v>8.9499999999999996E-2</v>
      </c>
      <c r="K10" s="396">
        <v>9.9500000000000005E-2</v>
      </c>
      <c r="L10" s="396">
        <v>8.9499999999999996E-2</v>
      </c>
      <c r="M10" s="398">
        <v>9.9500000000000005E-2</v>
      </c>
      <c r="N10" s="398">
        <v>8.9499999999999996E-2</v>
      </c>
      <c r="O10" s="397">
        <v>9.9500000000000005E-2</v>
      </c>
      <c r="P10" s="397">
        <v>8.9499999999999996E-2</v>
      </c>
      <c r="Q10" s="397">
        <v>5.5300000000000002E-2</v>
      </c>
      <c r="R10" s="398">
        <v>5.5E-2</v>
      </c>
      <c r="S10" s="141">
        <f t="shared" si="0"/>
        <v>0.9558000000000002</v>
      </c>
      <c r="T10" s="717"/>
      <c r="U10" s="717"/>
      <c r="V10" s="775"/>
      <c r="W10" s="142"/>
      <c r="X10" s="142"/>
      <c r="Y10" s="142"/>
      <c r="Z10" s="142"/>
      <c r="AA10" s="142"/>
      <c r="AB10" s="142"/>
      <c r="AC10" s="142"/>
      <c r="AD10" s="142"/>
      <c r="AE10" s="142"/>
      <c r="AF10" s="142"/>
      <c r="AG10" s="142"/>
      <c r="AH10" s="142"/>
      <c r="AI10" s="142"/>
      <c r="AJ10" s="142"/>
      <c r="AK10" s="142"/>
      <c r="AL10" s="142"/>
      <c r="AM10" s="142"/>
      <c r="AN10" s="142"/>
      <c r="AO10" s="142"/>
    </row>
    <row r="11" spans="1:41" ht="77.45" customHeight="1" x14ac:dyDescent="0.25">
      <c r="A11" s="716"/>
      <c r="B11" s="776" t="s">
        <v>355</v>
      </c>
      <c r="C11" s="777" t="s">
        <v>421</v>
      </c>
      <c r="D11" s="778" t="s">
        <v>418</v>
      </c>
      <c r="E11" s="778"/>
      <c r="F11" s="138" t="s">
        <v>419</v>
      </c>
      <c r="G11" s="396">
        <v>0</v>
      </c>
      <c r="H11" s="396">
        <v>9.6299999999999997E-2</v>
      </c>
      <c r="I11" s="396">
        <v>9.6299999999999997E-2</v>
      </c>
      <c r="J11" s="396">
        <v>9.6299999999999997E-2</v>
      </c>
      <c r="K11" s="396">
        <v>9.6299999999999997E-2</v>
      </c>
      <c r="L11" s="396">
        <v>9.6299999999999997E-2</v>
      </c>
      <c r="M11" s="396">
        <v>9.6299999999999997E-2</v>
      </c>
      <c r="N11" s="396">
        <v>9.6299999999999997E-2</v>
      </c>
      <c r="O11" s="397">
        <v>9.6299999999999997E-2</v>
      </c>
      <c r="P11" s="397">
        <v>9.6299999999999997E-2</v>
      </c>
      <c r="Q11" s="397">
        <v>9.6299999999999997E-2</v>
      </c>
      <c r="R11" s="397">
        <v>3.6999999999999998E-2</v>
      </c>
      <c r="S11" s="138">
        <f t="shared" si="0"/>
        <v>1</v>
      </c>
      <c r="T11" s="779">
        <v>0.1111</v>
      </c>
      <c r="U11" s="779">
        <f>+T11</f>
        <v>0.1111</v>
      </c>
      <c r="V11" s="780" t="s">
        <v>1360</v>
      </c>
      <c r="W11" s="139"/>
      <c r="X11" s="139"/>
      <c r="Y11" s="139"/>
      <c r="Z11" s="139"/>
      <c r="AA11" s="139"/>
      <c r="AB11" s="139"/>
      <c r="AC11" s="139"/>
      <c r="AD11" s="139"/>
      <c r="AE11" s="139"/>
      <c r="AF11" s="139"/>
      <c r="AG11" s="139"/>
      <c r="AH11" s="139"/>
      <c r="AI11" s="139"/>
      <c r="AJ11" s="139"/>
      <c r="AK11" s="139"/>
      <c r="AL11" s="139"/>
      <c r="AM11" s="139"/>
      <c r="AN11" s="139"/>
      <c r="AO11" s="139"/>
    </row>
    <row r="12" spans="1:41" ht="67.900000000000006" customHeight="1" x14ac:dyDescent="0.25">
      <c r="A12" s="716"/>
      <c r="B12" s="717"/>
      <c r="C12" s="717"/>
      <c r="D12" s="717"/>
      <c r="E12" s="717"/>
      <c r="F12" s="140" t="s">
        <v>420</v>
      </c>
      <c r="G12" s="396">
        <v>0</v>
      </c>
      <c r="H12" s="398">
        <v>9.6299999999999997E-2</v>
      </c>
      <c r="I12" s="398">
        <v>9.6299999999999997E-2</v>
      </c>
      <c r="J12" s="398">
        <v>9.6299999999999997E-2</v>
      </c>
      <c r="K12" s="396">
        <v>9.6299999999999997E-2</v>
      </c>
      <c r="L12" s="396">
        <v>9.6299999999999997E-2</v>
      </c>
      <c r="M12" s="398">
        <v>9.6299999999999997E-2</v>
      </c>
      <c r="N12" s="398">
        <v>9.6299999999999997E-2</v>
      </c>
      <c r="O12" s="397">
        <v>9.6299999999999997E-2</v>
      </c>
      <c r="P12" s="397">
        <v>9.6299999999999997E-2</v>
      </c>
      <c r="Q12" s="397">
        <v>7.3999999999999996E-2</v>
      </c>
      <c r="R12" s="398">
        <v>3.6999999999999998E-2</v>
      </c>
      <c r="S12" s="141">
        <f t="shared" si="0"/>
        <v>0.97770000000000001</v>
      </c>
      <c r="T12" s="717"/>
      <c r="U12" s="717"/>
      <c r="V12" s="775"/>
      <c r="W12" s="143"/>
      <c r="X12" s="142"/>
      <c r="Y12" s="142"/>
      <c r="Z12" s="142"/>
      <c r="AA12" s="142"/>
      <c r="AB12" s="142"/>
      <c r="AC12" s="142"/>
      <c r="AD12" s="142"/>
      <c r="AE12" s="142"/>
      <c r="AF12" s="142"/>
      <c r="AG12" s="142"/>
      <c r="AH12" s="142"/>
      <c r="AI12" s="142"/>
      <c r="AJ12" s="142"/>
      <c r="AK12" s="142"/>
      <c r="AL12" s="142"/>
      <c r="AM12" s="142"/>
      <c r="AN12" s="142"/>
      <c r="AO12" s="142"/>
    </row>
    <row r="13" spans="1:41" ht="77.45" customHeight="1" x14ac:dyDescent="0.25">
      <c r="A13" s="716"/>
      <c r="B13" s="776" t="s">
        <v>358</v>
      </c>
      <c r="C13" s="777" t="s">
        <v>422</v>
      </c>
      <c r="D13" s="778" t="s">
        <v>418</v>
      </c>
      <c r="E13" s="778"/>
      <c r="F13" s="138" t="s">
        <v>419</v>
      </c>
      <c r="G13" s="396">
        <v>0</v>
      </c>
      <c r="H13" s="396">
        <v>9.6699999999999994E-2</v>
      </c>
      <c r="I13" s="396">
        <v>9.6699999999999994E-2</v>
      </c>
      <c r="J13" s="396">
        <v>9.6699999999999994E-2</v>
      </c>
      <c r="K13" s="396">
        <v>9.6699999999999994E-2</v>
      </c>
      <c r="L13" s="396">
        <v>9.6699999999999994E-2</v>
      </c>
      <c r="M13" s="396">
        <v>9.6699999999999994E-2</v>
      </c>
      <c r="N13" s="396">
        <v>9.6699999999999994E-2</v>
      </c>
      <c r="O13" s="397">
        <v>9.6699999999999994E-2</v>
      </c>
      <c r="P13" s="397">
        <v>9.6699999999999994E-2</v>
      </c>
      <c r="Q13" s="397">
        <v>9.6699999999999994E-2</v>
      </c>
      <c r="R13" s="397">
        <v>3.3000000000000002E-2</v>
      </c>
      <c r="S13" s="138">
        <f t="shared" si="0"/>
        <v>1</v>
      </c>
      <c r="T13" s="779">
        <v>0.1111</v>
      </c>
      <c r="U13" s="779">
        <f>+T13</f>
        <v>0.1111</v>
      </c>
      <c r="V13" s="780" t="s">
        <v>1361</v>
      </c>
      <c r="W13" s="139"/>
      <c r="X13" s="139"/>
      <c r="Y13" s="139"/>
      <c r="Z13" s="139"/>
      <c r="AA13" s="139"/>
      <c r="AB13" s="139"/>
      <c r="AC13" s="139"/>
      <c r="AD13" s="139"/>
      <c r="AE13" s="139"/>
      <c r="AF13" s="139"/>
      <c r="AG13" s="139"/>
      <c r="AH13" s="139"/>
      <c r="AI13" s="139"/>
      <c r="AJ13" s="139"/>
      <c r="AK13" s="139"/>
      <c r="AL13" s="139"/>
      <c r="AM13" s="139"/>
      <c r="AN13" s="139"/>
      <c r="AO13" s="139"/>
    </row>
    <row r="14" spans="1:41" ht="63" customHeight="1" x14ac:dyDescent="0.25">
      <c r="A14" s="717"/>
      <c r="B14" s="717"/>
      <c r="C14" s="717"/>
      <c r="D14" s="717"/>
      <c r="E14" s="717"/>
      <c r="F14" s="140" t="s">
        <v>420</v>
      </c>
      <c r="G14" s="398">
        <v>0</v>
      </c>
      <c r="H14" s="398">
        <v>9.6699999999999994E-2</v>
      </c>
      <c r="I14" s="398">
        <v>9.6699999999999994E-2</v>
      </c>
      <c r="J14" s="398">
        <v>9.6699999999999994E-2</v>
      </c>
      <c r="K14" s="396">
        <v>9.6699999999999994E-2</v>
      </c>
      <c r="L14" s="396">
        <v>9.6699999999999994E-2</v>
      </c>
      <c r="M14" s="398">
        <v>9.6699999999999994E-2</v>
      </c>
      <c r="N14" s="398">
        <v>9.6699999999999994E-2</v>
      </c>
      <c r="O14" s="397">
        <v>9.6699999999999994E-2</v>
      </c>
      <c r="P14" s="397">
        <v>9.6699999999999994E-2</v>
      </c>
      <c r="Q14" s="397">
        <v>3.8199999999999998E-2</v>
      </c>
      <c r="R14" s="398">
        <v>4.7300000000000002E-2</v>
      </c>
      <c r="S14" s="141">
        <f t="shared" si="0"/>
        <v>0.95579999999999998</v>
      </c>
      <c r="T14" s="717"/>
      <c r="U14" s="717"/>
      <c r="V14" s="775"/>
      <c r="W14" s="142"/>
      <c r="X14" s="142"/>
      <c r="Y14" s="142"/>
      <c r="Z14" s="142"/>
      <c r="AA14" s="142"/>
      <c r="AB14" s="142"/>
      <c r="AC14" s="142"/>
      <c r="AD14" s="142"/>
      <c r="AE14" s="142"/>
      <c r="AF14" s="142"/>
      <c r="AG14" s="142"/>
      <c r="AH14" s="142"/>
      <c r="AI14" s="142"/>
      <c r="AJ14" s="142"/>
      <c r="AK14" s="142"/>
      <c r="AL14" s="142"/>
      <c r="AM14" s="142"/>
      <c r="AN14" s="142"/>
      <c r="AO14" s="142"/>
    </row>
    <row r="15" spans="1:41" ht="50.25" customHeight="1" x14ac:dyDescent="0.25">
      <c r="A15" s="778" t="s">
        <v>361</v>
      </c>
      <c r="B15" s="778" t="s">
        <v>362</v>
      </c>
      <c r="C15" s="777" t="s">
        <v>423</v>
      </c>
      <c r="D15" s="778" t="s">
        <v>418</v>
      </c>
      <c r="E15" s="778"/>
      <c r="F15" s="138" t="s">
        <v>419</v>
      </c>
      <c r="G15" s="396">
        <v>0.05</v>
      </c>
      <c r="H15" s="396">
        <v>0.05</v>
      </c>
      <c r="I15" s="396">
        <v>0.1</v>
      </c>
      <c r="J15" s="396">
        <v>0.1</v>
      </c>
      <c r="K15" s="396">
        <v>0.1</v>
      </c>
      <c r="L15" s="396">
        <v>0.1</v>
      </c>
      <c r="M15" s="396">
        <v>0.1</v>
      </c>
      <c r="N15" s="396">
        <v>0.1</v>
      </c>
      <c r="O15" s="397">
        <v>0.1</v>
      </c>
      <c r="P15" s="397">
        <v>0.1</v>
      </c>
      <c r="Q15" s="397">
        <v>0.05</v>
      </c>
      <c r="R15" s="397">
        <v>0.05</v>
      </c>
      <c r="S15" s="138">
        <f t="shared" si="0"/>
        <v>1</v>
      </c>
      <c r="T15" s="779">
        <v>0.1111</v>
      </c>
      <c r="U15" s="779">
        <v>5.5599999999999997E-2</v>
      </c>
      <c r="V15" s="780" t="s">
        <v>424</v>
      </c>
      <c r="W15" s="142"/>
      <c r="X15" s="142"/>
      <c r="Y15" s="142"/>
      <c r="Z15" s="142"/>
      <c r="AA15" s="142"/>
      <c r="AB15" s="142"/>
      <c r="AC15" s="142"/>
      <c r="AD15" s="142"/>
      <c r="AE15" s="142"/>
      <c r="AF15" s="142"/>
      <c r="AG15" s="142"/>
      <c r="AH15" s="142"/>
      <c r="AI15" s="142"/>
      <c r="AJ15" s="142"/>
      <c r="AK15" s="142"/>
      <c r="AL15" s="142"/>
      <c r="AM15" s="142"/>
      <c r="AN15" s="142"/>
      <c r="AO15" s="142"/>
    </row>
    <row r="16" spans="1:41" ht="50.25" customHeight="1" x14ac:dyDescent="0.25">
      <c r="A16" s="716"/>
      <c r="B16" s="716"/>
      <c r="C16" s="717"/>
      <c r="D16" s="717"/>
      <c r="E16" s="717"/>
      <c r="F16" s="140" t="s">
        <v>420</v>
      </c>
      <c r="G16" s="398">
        <v>0.05</v>
      </c>
      <c r="H16" s="398">
        <v>0.05</v>
      </c>
      <c r="I16" s="398">
        <v>0.1</v>
      </c>
      <c r="J16" s="398">
        <v>0.1</v>
      </c>
      <c r="K16" s="396">
        <v>0.1</v>
      </c>
      <c r="L16" s="398">
        <v>0.1</v>
      </c>
      <c r="M16" s="398">
        <v>0.1</v>
      </c>
      <c r="N16" s="398">
        <v>0.1</v>
      </c>
      <c r="O16" s="398">
        <v>0.1</v>
      </c>
      <c r="P16" s="398">
        <v>0.1</v>
      </c>
      <c r="Q16" s="398">
        <v>0.05</v>
      </c>
      <c r="R16" s="398">
        <v>0.05</v>
      </c>
      <c r="S16" s="140">
        <f t="shared" si="0"/>
        <v>1</v>
      </c>
      <c r="T16" s="716"/>
      <c r="U16" s="717"/>
      <c r="V16" s="775"/>
      <c r="W16" s="142"/>
      <c r="X16" s="142"/>
      <c r="Y16" s="142"/>
      <c r="Z16" s="142"/>
      <c r="AA16" s="142"/>
      <c r="AB16" s="142"/>
      <c r="AC16" s="142"/>
      <c r="AD16" s="142"/>
      <c r="AE16" s="142"/>
      <c r="AF16" s="142"/>
      <c r="AG16" s="142"/>
      <c r="AH16" s="142"/>
      <c r="AI16" s="142"/>
      <c r="AJ16" s="142"/>
      <c r="AK16" s="142"/>
      <c r="AL16" s="142"/>
      <c r="AM16" s="142"/>
      <c r="AN16" s="142"/>
      <c r="AO16" s="142"/>
    </row>
    <row r="17" spans="1:41" ht="50.25" customHeight="1" x14ac:dyDescent="0.25">
      <c r="A17" s="716"/>
      <c r="B17" s="716"/>
      <c r="C17" s="777" t="s">
        <v>425</v>
      </c>
      <c r="D17" s="401" t="s">
        <v>418</v>
      </c>
      <c r="E17" s="401"/>
      <c r="F17" s="138" t="s">
        <v>419</v>
      </c>
      <c r="G17" s="396">
        <v>0.05</v>
      </c>
      <c r="H17" s="396">
        <v>0.05</v>
      </c>
      <c r="I17" s="396">
        <v>0.1</v>
      </c>
      <c r="J17" s="396">
        <v>0.1</v>
      </c>
      <c r="K17" s="396">
        <v>0.1</v>
      </c>
      <c r="L17" s="396">
        <v>0.1</v>
      </c>
      <c r="M17" s="396">
        <v>0.15</v>
      </c>
      <c r="N17" s="396">
        <v>0.1</v>
      </c>
      <c r="O17" s="397">
        <v>0.1</v>
      </c>
      <c r="P17" s="397">
        <v>0.05</v>
      </c>
      <c r="Q17" s="397">
        <v>0.05</v>
      </c>
      <c r="R17" s="397">
        <v>0.05</v>
      </c>
      <c r="S17" s="138">
        <f t="shared" si="0"/>
        <v>1</v>
      </c>
      <c r="T17" s="716"/>
      <c r="U17" s="779">
        <v>5.5500000000000001E-2</v>
      </c>
      <c r="V17" s="780" t="s">
        <v>1365</v>
      </c>
      <c r="W17" s="139"/>
      <c r="X17" s="139"/>
      <c r="Y17" s="139"/>
      <c r="Z17" s="139"/>
      <c r="AA17" s="139"/>
      <c r="AB17" s="139"/>
      <c r="AC17" s="139"/>
      <c r="AD17" s="139"/>
      <c r="AE17" s="139"/>
      <c r="AF17" s="139"/>
      <c r="AG17" s="139"/>
      <c r="AH17" s="139"/>
      <c r="AI17" s="139"/>
      <c r="AJ17" s="139"/>
      <c r="AK17" s="139"/>
      <c r="AL17" s="139"/>
      <c r="AM17" s="139"/>
      <c r="AN17" s="139"/>
      <c r="AO17" s="139"/>
    </row>
    <row r="18" spans="1:41" ht="55.5" customHeight="1" x14ac:dyDescent="0.25">
      <c r="A18" s="716"/>
      <c r="B18" s="717"/>
      <c r="C18" s="717"/>
      <c r="D18" s="401"/>
      <c r="E18" s="401"/>
      <c r="F18" s="140" t="s">
        <v>420</v>
      </c>
      <c r="G18" s="396">
        <v>0.05</v>
      </c>
      <c r="H18" s="396">
        <v>0.05</v>
      </c>
      <c r="I18" s="396">
        <v>0.1</v>
      </c>
      <c r="J18" s="396">
        <v>0.1</v>
      </c>
      <c r="K18" s="396">
        <v>0.1</v>
      </c>
      <c r="L18" s="396">
        <v>0.1</v>
      </c>
      <c r="M18" s="396">
        <v>0.15</v>
      </c>
      <c r="N18" s="396">
        <v>0.15</v>
      </c>
      <c r="O18" s="397">
        <v>0.1</v>
      </c>
      <c r="P18" s="397">
        <v>0.05</v>
      </c>
      <c r="Q18" s="397">
        <v>0</v>
      </c>
      <c r="R18" s="397">
        <v>0.05</v>
      </c>
      <c r="S18" s="140">
        <f t="shared" si="0"/>
        <v>1</v>
      </c>
      <c r="T18" s="717"/>
      <c r="U18" s="717"/>
      <c r="V18" s="775"/>
      <c r="W18" s="142"/>
      <c r="X18" s="142"/>
      <c r="Y18" s="142"/>
      <c r="Z18" s="142"/>
      <c r="AA18" s="142"/>
      <c r="AB18" s="142"/>
      <c r="AC18" s="142"/>
      <c r="AD18" s="142"/>
      <c r="AE18" s="142"/>
      <c r="AF18" s="142"/>
      <c r="AG18" s="142"/>
      <c r="AH18" s="142"/>
      <c r="AI18" s="142"/>
      <c r="AJ18" s="142"/>
      <c r="AK18" s="142"/>
      <c r="AL18" s="142"/>
      <c r="AM18" s="142"/>
      <c r="AN18" s="142"/>
      <c r="AO18" s="142"/>
    </row>
    <row r="19" spans="1:41" ht="50.25" customHeight="1" x14ac:dyDescent="0.25">
      <c r="A19" s="716"/>
      <c r="B19" s="776" t="s">
        <v>364</v>
      </c>
      <c r="C19" s="777" t="s">
        <v>426</v>
      </c>
      <c r="D19" s="778" t="s">
        <v>418</v>
      </c>
      <c r="E19" s="778"/>
      <c r="F19" s="138" t="s">
        <v>419</v>
      </c>
      <c r="G19" s="396">
        <v>0</v>
      </c>
      <c r="H19" s="396">
        <v>0.05</v>
      </c>
      <c r="I19" s="396">
        <v>0.05</v>
      </c>
      <c r="J19" s="396">
        <v>0.1</v>
      </c>
      <c r="K19" s="396">
        <v>0.1</v>
      </c>
      <c r="L19" s="396">
        <v>0.1</v>
      </c>
      <c r="M19" s="396">
        <v>0.05</v>
      </c>
      <c r="N19" s="396">
        <v>0.05</v>
      </c>
      <c r="O19" s="397">
        <v>0.1</v>
      </c>
      <c r="P19" s="397">
        <v>0.1</v>
      </c>
      <c r="Q19" s="397">
        <v>0.15</v>
      </c>
      <c r="R19" s="397">
        <v>0.15</v>
      </c>
      <c r="S19" s="138">
        <f t="shared" si="0"/>
        <v>1</v>
      </c>
      <c r="T19" s="779">
        <v>0.1111</v>
      </c>
      <c r="U19" s="779">
        <v>5.5599999999999997E-2</v>
      </c>
      <c r="V19" s="780" t="s">
        <v>427</v>
      </c>
      <c r="W19" s="139"/>
      <c r="X19" s="139"/>
      <c r="Y19" s="139"/>
      <c r="Z19" s="139"/>
      <c r="AA19" s="139"/>
      <c r="AB19" s="139"/>
      <c r="AC19" s="139"/>
      <c r="AD19" s="139"/>
      <c r="AE19" s="139"/>
      <c r="AF19" s="139"/>
      <c r="AG19" s="139"/>
      <c r="AH19" s="139"/>
      <c r="AI19" s="139"/>
      <c r="AJ19" s="139"/>
      <c r="AK19" s="139"/>
      <c r="AL19" s="139"/>
      <c r="AM19" s="139"/>
      <c r="AN19" s="139"/>
      <c r="AO19" s="139"/>
    </row>
    <row r="20" spans="1:41" ht="50.25" customHeight="1" x14ac:dyDescent="0.25">
      <c r="A20" s="716"/>
      <c r="B20" s="716"/>
      <c r="C20" s="717"/>
      <c r="D20" s="717"/>
      <c r="E20" s="717"/>
      <c r="F20" s="140" t="s">
        <v>420</v>
      </c>
      <c r="G20" s="398">
        <v>0</v>
      </c>
      <c r="H20" s="398">
        <v>0.05</v>
      </c>
      <c r="I20" s="398">
        <v>0.05</v>
      </c>
      <c r="J20" s="398">
        <v>0.1</v>
      </c>
      <c r="K20" s="396">
        <v>0.1</v>
      </c>
      <c r="L20" s="398">
        <v>0.1</v>
      </c>
      <c r="M20" s="396">
        <v>0.05</v>
      </c>
      <c r="N20" s="396">
        <v>0.05</v>
      </c>
      <c r="O20" s="397">
        <v>0.1</v>
      </c>
      <c r="P20" s="397">
        <v>0.1</v>
      </c>
      <c r="Q20" s="397">
        <v>0.15</v>
      </c>
      <c r="R20" s="397">
        <v>0.15</v>
      </c>
      <c r="S20" s="140">
        <f t="shared" si="0"/>
        <v>1</v>
      </c>
      <c r="T20" s="716"/>
      <c r="U20" s="717"/>
      <c r="V20" s="775"/>
      <c r="W20" s="142"/>
      <c r="X20" s="142"/>
      <c r="Y20" s="142"/>
      <c r="Z20" s="142"/>
      <c r="AA20" s="142"/>
      <c r="AB20" s="142"/>
      <c r="AC20" s="142"/>
      <c r="AD20" s="142"/>
      <c r="AE20" s="142"/>
      <c r="AF20" s="142"/>
      <c r="AG20" s="142"/>
      <c r="AH20" s="142"/>
      <c r="AI20" s="142"/>
      <c r="AJ20" s="142"/>
      <c r="AK20" s="142"/>
      <c r="AL20" s="142"/>
      <c r="AM20" s="142"/>
      <c r="AN20" s="142"/>
      <c r="AO20" s="142"/>
    </row>
    <row r="21" spans="1:41" ht="50.25" customHeight="1" x14ac:dyDescent="0.25">
      <c r="A21" s="716"/>
      <c r="B21" s="716"/>
      <c r="C21" s="777" t="s">
        <v>428</v>
      </c>
      <c r="D21" s="778" t="s">
        <v>418</v>
      </c>
      <c r="E21" s="778"/>
      <c r="F21" s="138" t="s">
        <v>419</v>
      </c>
      <c r="G21" s="396">
        <v>0</v>
      </c>
      <c r="H21" s="396">
        <v>0.05</v>
      </c>
      <c r="I21" s="396">
        <v>0.05</v>
      </c>
      <c r="J21" s="396">
        <v>0.1</v>
      </c>
      <c r="K21" s="396">
        <v>0.1</v>
      </c>
      <c r="L21" s="396">
        <v>0.1</v>
      </c>
      <c r="M21" s="396">
        <v>0.05</v>
      </c>
      <c r="N21" s="396">
        <v>0.05</v>
      </c>
      <c r="O21" s="397">
        <v>0.1</v>
      </c>
      <c r="P21" s="397">
        <v>0.1</v>
      </c>
      <c r="Q21" s="397">
        <v>0.15</v>
      </c>
      <c r="R21" s="397">
        <v>0.15</v>
      </c>
      <c r="S21" s="138">
        <f t="shared" si="0"/>
        <v>1</v>
      </c>
      <c r="T21" s="716"/>
      <c r="U21" s="779">
        <v>5.5500000000000001E-2</v>
      </c>
      <c r="V21" s="780" t="s">
        <v>429</v>
      </c>
      <c r="W21" s="139"/>
      <c r="X21" s="139"/>
      <c r="Y21" s="139"/>
      <c r="Z21" s="139"/>
      <c r="AA21" s="139"/>
      <c r="AB21" s="139"/>
      <c r="AC21" s="139"/>
      <c r="AD21" s="139"/>
      <c r="AE21" s="139"/>
      <c r="AF21" s="139"/>
      <c r="AG21" s="139"/>
      <c r="AH21" s="139"/>
      <c r="AI21" s="139"/>
      <c r="AJ21" s="139"/>
      <c r="AK21" s="139"/>
      <c r="AL21" s="139"/>
      <c r="AM21" s="139"/>
      <c r="AN21" s="139"/>
      <c r="AO21" s="139"/>
    </row>
    <row r="22" spans="1:41" ht="50.25" customHeight="1" x14ac:dyDescent="0.25">
      <c r="A22" s="716"/>
      <c r="B22" s="717"/>
      <c r="C22" s="717"/>
      <c r="D22" s="717"/>
      <c r="E22" s="717"/>
      <c r="F22" s="140" t="s">
        <v>420</v>
      </c>
      <c r="G22" s="398">
        <v>0</v>
      </c>
      <c r="H22" s="398">
        <v>0.05</v>
      </c>
      <c r="I22" s="398">
        <v>0.05</v>
      </c>
      <c r="J22" s="398">
        <v>0.1</v>
      </c>
      <c r="K22" s="396">
        <v>0.1</v>
      </c>
      <c r="L22" s="398">
        <v>0.1</v>
      </c>
      <c r="M22" s="398">
        <v>0.05</v>
      </c>
      <c r="N22" s="398">
        <v>0.05</v>
      </c>
      <c r="O22" s="398">
        <v>0.1</v>
      </c>
      <c r="P22" s="398">
        <v>0.1</v>
      </c>
      <c r="Q22" s="398">
        <v>0.15</v>
      </c>
      <c r="R22" s="398">
        <v>0.15</v>
      </c>
      <c r="S22" s="140">
        <f t="shared" si="0"/>
        <v>1</v>
      </c>
      <c r="T22" s="717"/>
      <c r="U22" s="717"/>
      <c r="V22" s="775"/>
      <c r="W22" s="142"/>
      <c r="X22" s="142"/>
      <c r="Y22" s="142"/>
      <c r="Z22" s="142"/>
      <c r="AA22" s="142"/>
      <c r="AB22" s="142"/>
      <c r="AC22" s="142"/>
      <c r="AD22" s="142"/>
      <c r="AE22" s="142"/>
      <c r="AF22" s="142"/>
      <c r="AG22" s="142"/>
      <c r="AH22" s="142"/>
      <c r="AI22" s="142"/>
      <c r="AJ22" s="142"/>
      <c r="AK22" s="142"/>
      <c r="AL22" s="142"/>
      <c r="AM22" s="142"/>
      <c r="AN22" s="142"/>
      <c r="AO22" s="142"/>
    </row>
    <row r="23" spans="1:41" ht="50.25" customHeight="1" x14ac:dyDescent="0.25">
      <c r="A23" s="716"/>
      <c r="B23" s="776" t="s">
        <v>367</v>
      </c>
      <c r="C23" s="777" t="s">
        <v>430</v>
      </c>
      <c r="D23" s="778" t="s">
        <v>418</v>
      </c>
      <c r="E23" s="778"/>
      <c r="F23" s="138" t="s">
        <v>419</v>
      </c>
      <c r="G23" s="396">
        <v>0</v>
      </c>
      <c r="H23" s="396">
        <v>0.05</v>
      </c>
      <c r="I23" s="396">
        <v>0.1</v>
      </c>
      <c r="J23" s="396">
        <v>0.08</v>
      </c>
      <c r="K23" s="396">
        <v>0.08</v>
      </c>
      <c r="L23" s="396">
        <v>0.11</v>
      </c>
      <c r="M23" s="396">
        <v>0.11</v>
      </c>
      <c r="N23" s="396">
        <v>0.08</v>
      </c>
      <c r="O23" s="397">
        <v>0.08</v>
      </c>
      <c r="P23" s="397">
        <v>0.08</v>
      </c>
      <c r="Q23" s="397">
        <v>0.11</v>
      </c>
      <c r="R23" s="397">
        <v>0.12</v>
      </c>
      <c r="S23" s="138">
        <f t="shared" si="0"/>
        <v>0.99999999999999989</v>
      </c>
      <c r="T23" s="779">
        <v>0.11119999999999999</v>
      </c>
      <c r="U23" s="779">
        <v>3.7100000000000001E-2</v>
      </c>
      <c r="V23" s="780" t="s">
        <v>431</v>
      </c>
      <c r="W23" s="139"/>
      <c r="X23" s="139"/>
      <c r="Y23" s="139"/>
      <c r="Z23" s="139"/>
      <c r="AA23" s="139"/>
      <c r="AB23" s="139"/>
      <c r="AC23" s="139"/>
      <c r="AD23" s="139"/>
      <c r="AE23" s="139"/>
      <c r="AF23" s="139"/>
      <c r="AG23" s="139"/>
      <c r="AH23" s="139"/>
      <c r="AI23" s="139"/>
      <c r="AJ23" s="139"/>
      <c r="AK23" s="139"/>
      <c r="AL23" s="139"/>
      <c r="AM23" s="139"/>
      <c r="AN23" s="139"/>
      <c r="AO23" s="139"/>
    </row>
    <row r="24" spans="1:41" ht="45.75" customHeight="1" x14ac:dyDescent="0.25">
      <c r="A24" s="716"/>
      <c r="B24" s="716"/>
      <c r="C24" s="717"/>
      <c r="D24" s="717"/>
      <c r="E24" s="717"/>
      <c r="F24" s="140" t="s">
        <v>420</v>
      </c>
      <c r="G24" s="398">
        <v>0</v>
      </c>
      <c r="H24" s="398">
        <v>0.05</v>
      </c>
      <c r="I24" s="398">
        <v>0.1</v>
      </c>
      <c r="J24" s="398">
        <v>0.08</v>
      </c>
      <c r="K24" s="396">
        <v>0.08</v>
      </c>
      <c r="L24" s="398">
        <v>0.11</v>
      </c>
      <c r="M24" s="398">
        <v>0.11</v>
      </c>
      <c r="N24" s="398">
        <v>0.08</v>
      </c>
      <c r="O24" s="398">
        <v>0.08</v>
      </c>
      <c r="P24" s="398">
        <v>0.08</v>
      </c>
      <c r="Q24" s="398">
        <v>0.11</v>
      </c>
      <c r="R24" s="398">
        <v>0.12</v>
      </c>
      <c r="S24" s="140">
        <f>SUM(G24:R24)</f>
        <v>0.99999999999999989</v>
      </c>
      <c r="T24" s="716"/>
      <c r="U24" s="717"/>
      <c r="V24" s="775"/>
      <c r="W24" s="142"/>
      <c r="X24" s="142"/>
      <c r="Y24" s="142"/>
      <c r="Z24" s="142"/>
      <c r="AA24" s="142"/>
      <c r="AB24" s="142"/>
      <c r="AC24" s="142"/>
      <c r="AD24" s="142"/>
      <c r="AE24" s="142"/>
      <c r="AF24" s="142"/>
      <c r="AG24" s="142"/>
      <c r="AH24" s="142"/>
      <c r="AI24" s="142"/>
      <c r="AJ24" s="142"/>
      <c r="AK24" s="142"/>
      <c r="AL24" s="142"/>
      <c r="AM24" s="142"/>
      <c r="AN24" s="142"/>
      <c r="AO24" s="142"/>
    </row>
    <row r="25" spans="1:41" ht="50.25" customHeight="1" x14ac:dyDescent="0.25">
      <c r="A25" s="716"/>
      <c r="B25" s="716"/>
      <c r="C25" s="777" t="s">
        <v>432</v>
      </c>
      <c r="D25" s="778" t="s">
        <v>418</v>
      </c>
      <c r="E25" s="778"/>
      <c r="F25" s="138" t="s">
        <v>419</v>
      </c>
      <c r="G25" s="398">
        <v>0</v>
      </c>
      <c r="H25" s="398">
        <v>0.05</v>
      </c>
      <c r="I25" s="398">
        <v>0.08</v>
      </c>
      <c r="J25" s="398">
        <v>0.11</v>
      </c>
      <c r="K25" s="398">
        <v>0.11</v>
      </c>
      <c r="L25" s="398">
        <v>0.11</v>
      </c>
      <c r="M25" s="398">
        <v>0.08</v>
      </c>
      <c r="N25" s="398">
        <v>0.11</v>
      </c>
      <c r="O25" s="398">
        <v>0.11</v>
      </c>
      <c r="P25" s="398">
        <v>0.08</v>
      </c>
      <c r="Q25" s="398">
        <v>0.08</v>
      </c>
      <c r="R25" s="398">
        <v>0.08</v>
      </c>
      <c r="S25" s="138">
        <f t="shared" si="0"/>
        <v>0.99999999999999978</v>
      </c>
      <c r="T25" s="716"/>
      <c r="U25" s="779">
        <v>3.7100000000000001E-2</v>
      </c>
      <c r="V25" s="780" t="s">
        <v>433</v>
      </c>
      <c r="W25" s="139"/>
      <c r="X25" s="139"/>
      <c r="Y25" s="139"/>
      <c r="Z25" s="139"/>
      <c r="AA25" s="139"/>
      <c r="AB25" s="139"/>
      <c r="AC25" s="139"/>
      <c r="AD25" s="139"/>
      <c r="AE25" s="139"/>
      <c r="AF25" s="139"/>
      <c r="AG25" s="139"/>
      <c r="AH25" s="139"/>
      <c r="AI25" s="139"/>
      <c r="AJ25" s="139"/>
      <c r="AK25" s="139"/>
      <c r="AL25" s="139"/>
      <c r="AM25" s="139"/>
      <c r="AN25" s="139"/>
      <c r="AO25" s="139"/>
    </row>
    <row r="26" spans="1:41" ht="50.25" customHeight="1" x14ac:dyDescent="0.25">
      <c r="A26" s="716"/>
      <c r="B26" s="716"/>
      <c r="C26" s="717"/>
      <c r="D26" s="717"/>
      <c r="E26" s="717"/>
      <c r="F26" s="140" t="s">
        <v>420</v>
      </c>
      <c r="G26" s="398">
        <v>0</v>
      </c>
      <c r="H26" s="398">
        <v>0.05</v>
      </c>
      <c r="I26" s="398">
        <v>0.08</v>
      </c>
      <c r="J26" s="398">
        <v>0.11</v>
      </c>
      <c r="K26" s="398">
        <v>0.11</v>
      </c>
      <c r="L26" s="398">
        <v>0.11</v>
      </c>
      <c r="M26" s="398">
        <v>0.11</v>
      </c>
      <c r="N26" s="398">
        <v>0.11</v>
      </c>
      <c r="O26" s="398">
        <v>0.11</v>
      </c>
      <c r="P26" s="398">
        <v>0.08</v>
      </c>
      <c r="Q26" s="398">
        <v>0</v>
      </c>
      <c r="R26" s="398">
        <v>0.08</v>
      </c>
      <c r="S26" s="140">
        <f t="shared" si="0"/>
        <v>0.94999999999999984</v>
      </c>
      <c r="T26" s="716"/>
      <c r="U26" s="717"/>
      <c r="V26" s="775"/>
      <c r="W26" s="142"/>
      <c r="X26" s="142"/>
      <c r="Y26" s="142"/>
      <c r="Z26" s="142"/>
      <c r="AA26" s="142"/>
      <c r="AB26" s="142"/>
      <c r="AC26" s="142"/>
      <c r="AD26" s="142"/>
      <c r="AE26" s="142"/>
      <c r="AF26" s="142"/>
      <c r="AG26" s="142"/>
      <c r="AH26" s="142"/>
      <c r="AI26" s="142"/>
      <c r="AJ26" s="142"/>
      <c r="AK26" s="142"/>
      <c r="AL26" s="142"/>
      <c r="AM26" s="142"/>
      <c r="AN26" s="142"/>
      <c r="AO26" s="142"/>
    </row>
    <row r="27" spans="1:41" ht="50.25" customHeight="1" x14ac:dyDescent="0.25">
      <c r="A27" s="716"/>
      <c r="B27" s="716"/>
      <c r="C27" s="777" t="s">
        <v>434</v>
      </c>
      <c r="D27" s="778" t="s">
        <v>418</v>
      </c>
      <c r="E27" s="778"/>
      <c r="F27" s="138" t="s">
        <v>419</v>
      </c>
      <c r="G27" s="398">
        <v>0.05</v>
      </c>
      <c r="H27" s="398">
        <v>0.08</v>
      </c>
      <c r="I27" s="398">
        <v>0.08</v>
      </c>
      <c r="J27" s="398">
        <v>0.15</v>
      </c>
      <c r="K27" s="398">
        <v>0.08</v>
      </c>
      <c r="L27" s="398">
        <v>0.08</v>
      </c>
      <c r="M27" s="398">
        <v>0.08</v>
      </c>
      <c r="N27" s="398">
        <v>0.08</v>
      </c>
      <c r="O27" s="398">
        <v>0.08</v>
      </c>
      <c r="P27" s="398">
        <v>0.08</v>
      </c>
      <c r="Q27" s="398">
        <v>0.08</v>
      </c>
      <c r="R27" s="398">
        <v>0.08</v>
      </c>
      <c r="S27" s="138">
        <f t="shared" si="0"/>
        <v>0.99999999999999978</v>
      </c>
      <c r="T27" s="716"/>
      <c r="U27" s="779">
        <v>3.6999999999999998E-2</v>
      </c>
      <c r="V27" s="780" t="s">
        <v>435</v>
      </c>
      <c r="W27" s="139"/>
      <c r="X27" s="139"/>
      <c r="Y27" s="139"/>
      <c r="Z27" s="139"/>
      <c r="AA27" s="139"/>
      <c r="AB27" s="139"/>
      <c r="AC27" s="139"/>
      <c r="AD27" s="139"/>
      <c r="AE27" s="139"/>
      <c r="AF27" s="139"/>
      <c r="AG27" s="139"/>
      <c r="AH27" s="139"/>
      <c r="AI27" s="139"/>
      <c r="AJ27" s="139"/>
      <c r="AK27" s="139"/>
      <c r="AL27" s="139"/>
      <c r="AM27" s="139"/>
      <c r="AN27" s="139"/>
      <c r="AO27" s="139"/>
    </row>
    <row r="28" spans="1:41" ht="50.25" customHeight="1" x14ac:dyDescent="0.25">
      <c r="A28" s="716"/>
      <c r="B28" s="717"/>
      <c r="C28" s="717"/>
      <c r="D28" s="717"/>
      <c r="E28" s="717"/>
      <c r="F28" s="140" t="s">
        <v>420</v>
      </c>
      <c r="G28" s="398">
        <v>0.05</v>
      </c>
      <c r="H28" s="398">
        <v>0.08</v>
      </c>
      <c r="I28" s="398">
        <v>0.08</v>
      </c>
      <c r="J28" s="398">
        <v>0.15</v>
      </c>
      <c r="K28" s="398">
        <v>0.08</v>
      </c>
      <c r="L28" s="398">
        <v>0.08</v>
      </c>
      <c r="M28" s="398">
        <v>0.08</v>
      </c>
      <c r="N28" s="398">
        <v>0.08</v>
      </c>
      <c r="O28" s="398">
        <v>0.08</v>
      </c>
      <c r="P28" s="398">
        <v>0.08</v>
      </c>
      <c r="Q28" s="398">
        <v>0.08</v>
      </c>
      <c r="R28" s="398">
        <v>0.08</v>
      </c>
      <c r="S28" s="140">
        <f t="shared" si="0"/>
        <v>0.99999999999999978</v>
      </c>
      <c r="T28" s="717"/>
      <c r="U28" s="717"/>
      <c r="V28" s="775"/>
      <c r="W28" s="142"/>
      <c r="X28" s="142"/>
      <c r="Y28" s="142"/>
      <c r="Z28" s="142"/>
      <c r="AA28" s="142"/>
      <c r="AB28" s="142"/>
      <c r="AC28" s="142"/>
      <c r="AD28" s="142"/>
      <c r="AE28" s="142"/>
      <c r="AF28" s="142"/>
      <c r="AG28" s="142"/>
      <c r="AH28" s="142"/>
      <c r="AI28" s="142"/>
      <c r="AJ28" s="142"/>
      <c r="AK28" s="142"/>
      <c r="AL28" s="142"/>
      <c r="AM28" s="142"/>
      <c r="AN28" s="142"/>
      <c r="AO28" s="142"/>
    </row>
    <row r="29" spans="1:41" ht="50.25" customHeight="1" x14ac:dyDescent="0.25">
      <c r="A29" s="716"/>
      <c r="B29" s="776" t="s">
        <v>370</v>
      </c>
      <c r="C29" s="777" t="s">
        <v>436</v>
      </c>
      <c r="D29" s="778" t="s">
        <v>418</v>
      </c>
      <c r="E29" s="778"/>
      <c r="F29" s="138" t="s">
        <v>419</v>
      </c>
      <c r="G29" s="396">
        <v>0</v>
      </c>
      <c r="H29" s="396">
        <v>0.05</v>
      </c>
      <c r="I29" s="396">
        <v>0.08</v>
      </c>
      <c r="J29" s="396">
        <v>0.08</v>
      </c>
      <c r="K29" s="396">
        <v>0.08</v>
      </c>
      <c r="L29" s="396">
        <v>0.11</v>
      </c>
      <c r="M29" s="398">
        <v>0.11</v>
      </c>
      <c r="N29" s="398">
        <v>0.11</v>
      </c>
      <c r="O29" s="398">
        <v>0.11</v>
      </c>
      <c r="P29" s="398">
        <v>0.11</v>
      </c>
      <c r="Q29" s="398">
        <v>0.11</v>
      </c>
      <c r="R29" s="398">
        <v>0.05</v>
      </c>
      <c r="S29" s="138">
        <f t="shared" si="0"/>
        <v>1</v>
      </c>
      <c r="T29" s="779">
        <v>0.1111</v>
      </c>
      <c r="U29" s="779">
        <v>3.7100000000000001E-2</v>
      </c>
      <c r="V29" s="780" t="s">
        <v>1363</v>
      </c>
      <c r="W29" s="139"/>
      <c r="X29" s="139"/>
      <c r="Y29" s="139"/>
      <c r="Z29" s="139"/>
      <c r="AA29" s="139"/>
      <c r="AB29" s="139"/>
      <c r="AC29" s="139"/>
      <c r="AD29" s="139"/>
      <c r="AE29" s="139"/>
      <c r="AF29" s="139"/>
      <c r="AG29" s="139"/>
      <c r="AH29" s="139"/>
      <c r="AI29" s="139"/>
      <c r="AJ29" s="139"/>
      <c r="AK29" s="139"/>
      <c r="AL29" s="139"/>
      <c r="AM29" s="139"/>
      <c r="AN29" s="139"/>
      <c r="AO29" s="139"/>
    </row>
    <row r="30" spans="1:41" ht="50.25" customHeight="1" x14ac:dyDescent="0.25">
      <c r="A30" s="716"/>
      <c r="B30" s="716"/>
      <c r="C30" s="717"/>
      <c r="D30" s="717"/>
      <c r="E30" s="717"/>
      <c r="F30" s="140" t="s">
        <v>420</v>
      </c>
      <c r="G30" s="398">
        <v>0</v>
      </c>
      <c r="H30" s="398">
        <v>0.05</v>
      </c>
      <c r="I30" s="398">
        <v>0.08</v>
      </c>
      <c r="J30" s="398">
        <v>0.08</v>
      </c>
      <c r="K30" s="396">
        <v>0.08</v>
      </c>
      <c r="L30" s="398">
        <v>0.11</v>
      </c>
      <c r="M30" s="398">
        <v>0.11</v>
      </c>
      <c r="N30" s="398">
        <v>0.11</v>
      </c>
      <c r="O30" s="398">
        <v>0.11</v>
      </c>
      <c r="P30" s="398">
        <v>0.11</v>
      </c>
      <c r="Q30" s="398">
        <v>0.11</v>
      </c>
      <c r="R30" s="398">
        <v>0.02</v>
      </c>
      <c r="S30" s="140">
        <f t="shared" si="0"/>
        <v>0.97</v>
      </c>
      <c r="T30" s="716"/>
      <c r="U30" s="717"/>
      <c r="V30" s="775"/>
      <c r="W30" s="142"/>
      <c r="X30" s="142"/>
      <c r="Y30" s="142"/>
      <c r="Z30" s="142"/>
      <c r="AA30" s="142"/>
      <c r="AB30" s="142"/>
      <c r="AC30" s="142"/>
      <c r="AD30" s="142"/>
      <c r="AE30" s="142"/>
      <c r="AF30" s="142"/>
      <c r="AG30" s="142"/>
      <c r="AH30" s="142"/>
      <c r="AI30" s="142"/>
      <c r="AJ30" s="142"/>
      <c r="AK30" s="142"/>
      <c r="AL30" s="142"/>
      <c r="AM30" s="142"/>
      <c r="AN30" s="142"/>
      <c r="AO30" s="142"/>
    </row>
    <row r="31" spans="1:41" ht="50.25" customHeight="1" x14ac:dyDescent="0.25">
      <c r="A31" s="716"/>
      <c r="B31" s="716"/>
      <c r="C31" s="777" t="s">
        <v>437</v>
      </c>
      <c r="D31" s="778" t="s">
        <v>418</v>
      </c>
      <c r="E31" s="778"/>
      <c r="F31" s="138" t="s">
        <v>419</v>
      </c>
      <c r="G31" s="398">
        <v>0</v>
      </c>
      <c r="H31" s="398">
        <v>0.03</v>
      </c>
      <c r="I31" s="398">
        <v>0.08</v>
      </c>
      <c r="J31" s="398">
        <v>0.09</v>
      </c>
      <c r="K31" s="398">
        <v>0.09</v>
      </c>
      <c r="L31" s="398">
        <v>0.11</v>
      </c>
      <c r="M31" s="398">
        <v>0.11</v>
      </c>
      <c r="N31" s="398">
        <v>0.11</v>
      </c>
      <c r="O31" s="398">
        <v>0.11</v>
      </c>
      <c r="P31" s="398">
        <v>0.11</v>
      </c>
      <c r="Q31" s="398">
        <v>0.11</v>
      </c>
      <c r="R31" s="398">
        <v>0.05</v>
      </c>
      <c r="S31" s="138">
        <f t="shared" si="0"/>
        <v>1</v>
      </c>
      <c r="T31" s="716"/>
      <c r="U31" s="779">
        <v>3.6999999999999998E-2</v>
      </c>
      <c r="V31" s="780" t="s">
        <v>438</v>
      </c>
      <c r="W31" s="139"/>
      <c r="X31" s="139"/>
      <c r="Y31" s="139"/>
      <c r="Z31" s="139"/>
      <c r="AA31" s="139"/>
      <c r="AB31" s="139"/>
      <c r="AC31" s="139"/>
      <c r="AD31" s="139"/>
      <c r="AE31" s="139"/>
      <c r="AF31" s="139"/>
      <c r="AG31" s="139"/>
      <c r="AH31" s="139"/>
      <c r="AI31" s="139"/>
      <c r="AJ31" s="139"/>
      <c r="AK31" s="139"/>
      <c r="AL31" s="139"/>
      <c r="AM31" s="139"/>
      <c r="AN31" s="139"/>
      <c r="AO31" s="139"/>
    </row>
    <row r="32" spans="1:41" ht="50.25" customHeight="1" x14ac:dyDescent="0.25">
      <c r="A32" s="716"/>
      <c r="B32" s="716"/>
      <c r="C32" s="717"/>
      <c r="D32" s="717"/>
      <c r="E32" s="717"/>
      <c r="F32" s="140" t="s">
        <v>420</v>
      </c>
      <c r="G32" s="398">
        <v>0</v>
      </c>
      <c r="H32" s="398">
        <v>0.03</v>
      </c>
      <c r="I32" s="398">
        <v>0.08</v>
      </c>
      <c r="J32" s="398">
        <v>0.09</v>
      </c>
      <c r="K32" s="398">
        <v>0.09</v>
      </c>
      <c r="L32" s="398">
        <v>0.11</v>
      </c>
      <c r="M32" s="398">
        <v>0.11</v>
      </c>
      <c r="N32" s="398">
        <v>0.11</v>
      </c>
      <c r="O32" s="398">
        <v>0.11</v>
      </c>
      <c r="P32" s="398">
        <v>0.11</v>
      </c>
      <c r="Q32" s="398">
        <v>0.11</v>
      </c>
      <c r="R32" s="398">
        <v>0.05</v>
      </c>
      <c r="S32" s="140">
        <f t="shared" si="0"/>
        <v>1</v>
      </c>
      <c r="T32" s="716"/>
      <c r="U32" s="717"/>
      <c r="V32" s="775"/>
      <c r="W32" s="142"/>
      <c r="X32" s="142"/>
      <c r="Y32" s="142"/>
      <c r="Z32" s="142"/>
      <c r="AA32" s="142"/>
      <c r="AB32" s="142"/>
      <c r="AC32" s="142"/>
      <c r="AD32" s="142"/>
      <c r="AE32" s="142"/>
      <c r="AF32" s="142"/>
      <c r="AG32" s="142"/>
      <c r="AH32" s="142"/>
      <c r="AI32" s="142"/>
      <c r="AJ32" s="142"/>
      <c r="AK32" s="142"/>
      <c r="AL32" s="142"/>
      <c r="AM32" s="142"/>
      <c r="AN32" s="142"/>
      <c r="AO32" s="142"/>
    </row>
    <row r="33" spans="1:41" ht="50.25" customHeight="1" x14ac:dyDescent="0.25">
      <c r="A33" s="716"/>
      <c r="B33" s="716"/>
      <c r="C33" s="777" t="s">
        <v>439</v>
      </c>
      <c r="D33" s="778" t="s">
        <v>418</v>
      </c>
      <c r="E33" s="778"/>
      <c r="F33" s="138" t="s">
        <v>419</v>
      </c>
      <c r="G33" s="398">
        <v>0.05</v>
      </c>
      <c r="H33" s="398">
        <v>0.06</v>
      </c>
      <c r="I33" s="398">
        <v>0.08</v>
      </c>
      <c r="J33" s="398">
        <v>0.08</v>
      </c>
      <c r="K33" s="398">
        <v>0.08</v>
      </c>
      <c r="L33" s="398">
        <v>0.09</v>
      </c>
      <c r="M33" s="398">
        <v>0.09</v>
      </c>
      <c r="N33" s="398">
        <v>0.09</v>
      </c>
      <c r="O33" s="398">
        <v>0.09</v>
      </c>
      <c r="P33" s="398">
        <v>0.09</v>
      </c>
      <c r="Q33" s="398">
        <v>0.1</v>
      </c>
      <c r="R33" s="398">
        <v>0.1</v>
      </c>
      <c r="S33" s="144">
        <f t="shared" si="0"/>
        <v>0.99999999999999989</v>
      </c>
      <c r="T33" s="716"/>
      <c r="U33" s="779">
        <v>3.6999999999999998E-2</v>
      </c>
      <c r="V33" s="780" t="s">
        <v>1362</v>
      </c>
      <c r="W33" s="139"/>
      <c r="X33" s="139"/>
      <c r="Y33" s="139"/>
      <c r="Z33" s="139"/>
      <c r="AA33" s="139"/>
      <c r="AB33" s="139"/>
      <c r="AC33" s="139"/>
      <c r="AD33" s="139"/>
      <c r="AE33" s="139"/>
      <c r="AF33" s="139"/>
      <c r="AG33" s="139"/>
      <c r="AH33" s="139"/>
      <c r="AI33" s="139"/>
      <c r="AJ33" s="139"/>
      <c r="AK33" s="139"/>
      <c r="AL33" s="139"/>
      <c r="AM33" s="139"/>
      <c r="AN33" s="139"/>
      <c r="AO33" s="139"/>
    </row>
    <row r="34" spans="1:41" ht="50.25" customHeight="1" x14ac:dyDescent="0.25">
      <c r="A34" s="716"/>
      <c r="B34" s="717"/>
      <c r="C34" s="717"/>
      <c r="D34" s="717"/>
      <c r="E34" s="717"/>
      <c r="F34" s="145" t="s">
        <v>420</v>
      </c>
      <c r="G34" s="399">
        <v>0.05</v>
      </c>
      <c r="H34" s="399">
        <v>0.06</v>
      </c>
      <c r="I34" s="399">
        <v>0.08</v>
      </c>
      <c r="J34" s="399">
        <v>0.08</v>
      </c>
      <c r="K34" s="398">
        <v>0.08</v>
      </c>
      <c r="L34" s="399">
        <v>0.09</v>
      </c>
      <c r="M34" s="399">
        <v>0.09</v>
      </c>
      <c r="N34" s="399">
        <v>0.09</v>
      </c>
      <c r="O34" s="400">
        <v>0.09</v>
      </c>
      <c r="P34" s="400">
        <v>0.09</v>
      </c>
      <c r="Q34" s="400">
        <v>0.1</v>
      </c>
      <c r="R34" s="400">
        <v>0</v>
      </c>
      <c r="S34" s="145">
        <f t="shared" si="0"/>
        <v>0.89999999999999991</v>
      </c>
      <c r="T34" s="717"/>
      <c r="U34" s="717"/>
      <c r="V34" s="775"/>
      <c r="W34" s="142"/>
      <c r="X34" s="142"/>
      <c r="Y34" s="142"/>
      <c r="Z34" s="142"/>
      <c r="AA34" s="142"/>
      <c r="AB34" s="142"/>
      <c r="AC34" s="142"/>
      <c r="AD34" s="142"/>
      <c r="AE34" s="142"/>
      <c r="AF34" s="142"/>
      <c r="AG34" s="142"/>
      <c r="AH34" s="142"/>
      <c r="AI34" s="142"/>
      <c r="AJ34" s="142"/>
      <c r="AK34" s="142"/>
      <c r="AL34" s="142"/>
      <c r="AM34" s="142"/>
      <c r="AN34" s="142"/>
      <c r="AO34" s="142"/>
    </row>
    <row r="35" spans="1:41" ht="50.25" customHeight="1" x14ac:dyDescent="0.25">
      <c r="A35" s="716"/>
      <c r="B35" s="776" t="s">
        <v>372</v>
      </c>
      <c r="C35" s="777" t="s">
        <v>440</v>
      </c>
      <c r="D35" s="778" t="s">
        <v>418</v>
      </c>
      <c r="E35" s="778"/>
      <c r="F35" s="144" t="s">
        <v>419</v>
      </c>
      <c r="G35" s="398">
        <v>0.05</v>
      </c>
      <c r="H35" s="398">
        <v>0.09</v>
      </c>
      <c r="I35" s="398">
        <v>0.09</v>
      </c>
      <c r="J35" s="398">
        <v>0.09</v>
      </c>
      <c r="K35" s="398">
        <v>0.09</v>
      </c>
      <c r="L35" s="398">
        <v>0.09</v>
      </c>
      <c r="M35" s="398">
        <v>0.09</v>
      </c>
      <c r="N35" s="398">
        <v>0.09</v>
      </c>
      <c r="O35" s="398">
        <v>0.09</v>
      </c>
      <c r="P35" s="398">
        <v>0.09</v>
      </c>
      <c r="Q35" s="398">
        <v>0.09</v>
      </c>
      <c r="R35" s="398">
        <v>0.05</v>
      </c>
      <c r="S35" s="144">
        <f t="shared" si="0"/>
        <v>0.99999999999999989</v>
      </c>
      <c r="T35" s="779">
        <v>0.1111</v>
      </c>
      <c r="U35" s="779">
        <v>0.1111</v>
      </c>
      <c r="V35" s="795" t="s">
        <v>441</v>
      </c>
      <c r="W35" s="139"/>
      <c r="X35" s="139"/>
      <c r="Y35" s="139"/>
      <c r="Z35" s="139"/>
      <c r="AA35" s="139"/>
      <c r="AB35" s="139"/>
      <c r="AC35" s="139"/>
      <c r="AD35" s="139"/>
      <c r="AE35" s="139"/>
      <c r="AF35" s="139"/>
      <c r="AG35" s="139"/>
      <c r="AH35" s="139"/>
      <c r="AI35" s="139"/>
      <c r="AJ35" s="139"/>
      <c r="AK35" s="139"/>
      <c r="AL35" s="139"/>
      <c r="AM35" s="139"/>
      <c r="AN35" s="139"/>
      <c r="AO35" s="139"/>
    </row>
    <row r="36" spans="1:41" ht="50.25" customHeight="1" x14ac:dyDescent="0.25">
      <c r="A36" s="717"/>
      <c r="B36" s="717"/>
      <c r="C36" s="717"/>
      <c r="D36" s="717"/>
      <c r="E36" s="717"/>
      <c r="F36" s="140" t="s">
        <v>420</v>
      </c>
      <c r="G36" s="398">
        <v>0.05</v>
      </c>
      <c r="H36" s="398">
        <v>0.09</v>
      </c>
      <c r="I36" s="398">
        <v>0.09</v>
      </c>
      <c r="J36" s="398">
        <v>0.09</v>
      </c>
      <c r="K36" s="398">
        <v>0.09</v>
      </c>
      <c r="L36" s="398">
        <v>0.09</v>
      </c>
      <c r="M36" s="398">
        <v>0.09</v>
      </c>
      <c r="N36" s="398">
        <v>0.09</v>
      </c>
      <c r="O36" s="398">
        <v>0.09</v>
      </c>
      <c r="P36" s="398">
        <v>0.09</v>
      </c>
      <c r="Q36" s="398">
        <v>0.09</v>
      </c>
      <c r="R36" s="398">
        <v>0.05</v>
      </c>
      <c r="S36" s="140">
        <f t="shared" si="0"/>
        <v>0.99999999999999989</v>
      </c>
      <c r="T36" s="717"/>
      <c r="U36" s="717"/>
      <c r="V36" s="796"/>
      <c r="W36" s="142"/>
      <c r="X36" s="142"/>
      <c r="Y36" s="142"/>
      <c r="Z36" s="142"/>
      <c r="AA36" s="142"/>
      <c r="AB36" s="142"/>
      <c r="AC36" s="142"/>
      <c r="AD36" s="142"/>
      <c r="AE36" s="142"/>
      <c r="AF36" s="142"/>
      <c r="AG36" s="142"/>
      <c r="AH36" s="142"/>
      <c r="AI36" s="142"/>
      <c r="AJ36" s="142"/>
      <c r="AK36" s="142"/>
      <c r="AL36" s="142"/>
      <c r="AM36" s="142"/>
      <c r="AN36" s="142"/>
      <c r="AO36" s="142"/>
    </row>
    <row r="37" spans="1:41" ht="50.25" customHeight="1" x14ac:dyDescent="0.25">
      <c r="A37" s="778" t="s">
        <v>375</v>
      </c>
      <c r="B37" s="778" t="s">
        <v>381</v>
      </c>
      <c r="C37" s="777" t="s">
        <v>442</v>
      </c>
      <c r="D37" s="778" t="s">
        <v>418</v>
      </c>
      <c r="E37" s="778"/>
      <c r="F37" s="144" t="s">
        <v>419</v>
      </c>
      <c r="G37" s="398">
        <v>0.05</v>
      </c>
      <c r="H37" s="398">
        <v>7.0000000000000007E-2</v>
      </c>
      <c r="I37" s="398">
        <v>0.09</v>
      </c>
      <c r="J37" s="398">
        <v>0.09</v>
      </c>
      <c r="K37" s="398">
        <v>0.09</v>
      </c>
      <c r="L37" s="398">
        <v>0.09</v>
      </c>
      <c r="M37" s="398">
        <v>0.09</v>
      </c>
      <c r="N37" s="398">
        <v>0.09</v>
      </c>
      <c r="O37" s="398">
        <v>0.09</v>
      </c>
      <c r="P37" s="398">
        <v>0.09</v>
      </c>
      <c r="Q37" s="398">
        <v>0.09</v>
      </c>
      <c r="R37" s="398">
        <v>7.0000000000000007E-2</v>
      </c>
      <c r="S37" s="144">
        <f t="shared" si="0"/>
        <v>0.99999999999999978</v>
      </c>
      <c r="T37" s="779">
        <v>0.1111</v>
      </c>
      <c r="U37" s="779">
        <v>2.23E-2</v>
      </c>
      <c r="V37" s="776" t="s">
        <v>1364</v>
      </c>
      <c r="W37" s="139"/>
      <c r="X37" s="139"/>
      <c r="Y37" s="139"/>
      <c r="Z37" s="139"/>
      <c r="AA37" s="139"/>
      <c r="AB37" s="139"/>
      <c r="AC37" s="139"/>
      <c r="AD37" s="139"/>
      <c r="AE37" s="139"/>
      <c r="AF37" s="139"/>
      <c r="AG37" s="139"/>
      <c r="AH37" s="139"/>
      <c r="AI37" s="139"/>
      <c r="AJ37" s="139"/>
      <c r="AK37" s="139"/>
      <c r="AL37" s="139"/>
      <c r="AM37" s="139"/>
      <c r="AN37" s="139"/>
      <c r="AO37" s="139"/>
    </row>
    <row r="38" spans="1:41" ht="50.25" customHeight="1" x14ac:dyDescent="0.25">
      <c r="A38" s="716"/>
      <c r="B38" s="716"/>
      <c r="C38" s="717"/>
      <c r="D38" s="717"/>
      <c r="E38" s="717"/>
      <c r="F38" s="140" t="s">
        <v>420</v>
      </c>
      <c r="G38" s="398">
        <v>0.08</v>
      </c>
      <c r="H38" s="398">
        <v>7.0000000000000007E-2</v>
      </c>
      <c r="I38" s="398">
        <v>0.09</v>
      </c>
      <c r="J38" s="398">
        <v>0.09</v>
      </c>
      <c r="K38" s="398">
        <v>0.09</v>
      </c>
      <c r="L38" s="398">
        <v>0.09</v>
      </c>
      <c r="M38" s="398">
        <v>0.09</v>
      </c>
      <c r="N38" s="398">
        <v>0.09</v>
      </c>
      <c r="O38" s="398">
        <v>0.09</v>
      </c>
      <c r="P38" s="398">
        <v>0.09</v>
      </c>
      <c r="Q38" s="398">
        <v>0.09</v>
      </c>
      <c r="R38" s="398">
        <v>0.04</v>
      </c>
      <c r="S38" s="140">
        <f t="shared" si="0"/>
        <v>0.99999999999999989</v>
      </c>
      <c r="T38" s="716"/>
      <c r="U38" s="717"/>
      <c r="V38" s="717"/>
      <c r="W38" s="142"/>
      <c r="X38" s="142"/>
      <c r="Y38" s="142"/>
      <c r="Z38" s="142"/>
      <c r="AA38" s="142"/>
      <c r="AB38" s="142"/>
      <c r="AC38" s="142"/>
      <c r="AD38" s="142"/>
      <c r="AE38" s="142"/>
      <c r="AF38" s="142"/>
      <c r="AG38" s="142"/>
      <c r="AH38" s="142"/>
      <c r="AI38" s="142"/>
      <c r="AJ38" s="142"/>
      <c r="AK38" s="142"/>
      <c r="AL38" s="142"/>
      <c r="AM38" s="142"/>
      <c r="AN38" s="142"/>
      <c r="AO38" s="142"/>
    </row>
    <row r="39" spans="1:41" ht="50.25" customHeight="1" x14ac:dyDescent="0.25">
      <c r="A39" s="716"/>
      <c r="B39" s="716"/>
      <c r="C39" s="777" t="s">
        <v>443</v>
      </c>
      <c r="D39" s="778" t="s">
        <v>418</v>
      </c>
      <c r="E39" s="778"/>
      <c r="F39" s="144" t="s">
        <v>419</v>
      </c>
      <c r="G39" s="398">
        <v>7.0000000000000007E-2</v>
      </c>
      <c r="H39" s="398">
        <v>0.09</v>
      </c>
      <c r="I39" s="398">
        <v>0.09</v>
      </c>
      <c r="J39" s="398">
        <v>0.08</v>
      </c>
      <c r="K39" s="398">
        <v>0.08</v>
      </c>
      <c r="L39" s="398">
        <v>0.08</v>
      </c>
      <c r="M39" s="398">
        <v>0.09</v>
      </c>
      <c r="N39" s="398">
        <v>0.09</v>
      </c>
      <c r="O39" s="398">
        <v>0.09</v>
      </c>
      <c r="P39" s="398">
        <v>0.08</v>
      </c>
      <c r="Q39" s="398">
        <v>0.08</v>
      </c>
      <c r="R39" s="398">
        <v>0.08</v>
      </c>
      <c r="S39" s="144">
        <f t="shared" si="0"/>
        <v>0.99999999999999989</v>
      </c>
      <c r="T39" s="716"/>
      <c r="U39" s="779">
        <v>2.2200000000000001E-2</v>
      </c>
      <c r="V39" s="776" t="s">
        <v>444</v>
      </c>
      <c r="W39" s="139"/>
      <c r="X39" s="139"/>
      <c r="Y39" s="139"/>
      <c r="Z39" s="139"/>
      <c r="AA39" s="139"/>
      <c r="AB39" s="139"/>
      <c r="AC39" s="139"/>
      <c r="AD39" s="139"/>
      <c r="AE39" s="139"/>
      <c r="AF39" s="139"/>
      <c r="AG39" s="139"/>
      <c r="AH39" s="139"/>
      <c r="AI39" s="139"/>
      <c r="AJ39" s="139"/>
      <c r="AK39" s="139"/>
      <c r="AL39" s="139"/>
      <c r="AM39" s="139"/>
      <c r="AN39" s="139"/>
      <c r="AO39" s="139"/>
    </row>
    <row r="40" spans="1:41" ht="50.25" customHeight="1" x14ac:dyDescent="0.25">
      <c r="A40" s="716"/>
      <c r="B40" s="716"/>
      <c r="C40" s="717"/>
      <c r="D40" s="716"/>
      <c r="E40" s="716"/>
      <c r="F40" s="140" t="s">
        <v>420</v>
      </c>
      <c r="G40" s="398">
        <v>7.0000000000000007E-2</v>
      </c>
      <c r="H40" s="398">
        <v>0.09</v>
      </c>
      <c r="I40" s="398">
        <v>0.09</v>
      </c>
      <c r="J40" s="398">
        <v>0.08</v>
      </c>
      <c r="K40" s="398">
        <v>0.08</v>
      </c>
      <c r="L40" s="398">
        <v>0.08</v>
      </c>
      <c r="M40" s="398">
        <v>0.09</v>
      </c>
      <c r="N40" s="398">
        <v>0.09</v>
      </c>
      <c r="O40" s="398">
        <v>0.09</v>
      </c>
      <c r="P40" s="398">
        <v>0.08</v>
      </c>
      <c r="Q40" s="398">
        <v>0.08</v>
      </c>
      <c r="R40" s="398">
        <v>0.08</v>
      </c>
      <c r="S40" s="140">
        <f t="shared" si="0"/>
        <v>0.99999999999999989</v>
      </c>
      <c r="T40" s="716"/>
      <c r="U40" s="717"/>
      <c r="V40" s="717"/>
      <c r="W40" s="142"/>
      <c r="X40" s="142"/>
      <c r="Y40" s="142"/>
      <c r="Z40" s="142"/>
      <c r="AA40" s="142"/>
      <c r="AB40" s="142"/>
      <c r="AC40" s="142"/>
      <c r="AD40" s="142"/>
      <c r="AE40" s="142"/>
      <c r="AF40" s="142"/>
      <c r="AG40" s="142"/>
      <c r="AH40" s="142"/>
      <c r="AI40" s="142"/>
      <c r="AJ40" s="142"/>
      <c r="AK40" s="142"/>
      <c r="AL40" s="142"/>
      <c r="AM40" s="142"/>
      <c r="AN40" s="142"/>
      <c r="AO40" s="142"/>
    </row>
    <row r="41" spans="1:41" ht="50.25" customHeight="1" x14ac:dyDescent="0.25">
      <c r="A41" s="716"/>
      <c r="B41" s="716"/>
      <c r="C41" s="777" t="s">
        <v>445</v>
      </c>
      <c r="D41" s="716"/>
      <c r="E41" s="716"/>
      <c r="F41" s="144" t="s">
        <v>419</v>
      </c>
      <c r="G41" s="398">
        <v>8.3299999999999999E-2</v>
      </c>
      <c r="H41" s="398">
        <v>8.3299999999999999E-2</v>
      </c>
      <c r="I41" s="398">
        <v>8.3299999999999999E-2</v>
      </c>
      <c r="J41" s="398">
        <v>8.3299999999999999E-2</v>
      </c>
      <c r="K41" s="398">
        <v>8.3299999999999999E-2</v>
      </c>
      <c r="L41" s="398">
        <v>8.3299999999999999E-2</v>
      </c>
      <c r="M41" s="398">
        <v>8.3299999999999999E-2</v>
      </c>
      <c r="N41" s="398">
        <v>8.3299999999999999E-2</v>
      </c>
      <c r="O41" s="398">
        <v>8.3299999999999999E-2</v>
      </c>
      <c r="P41" s="398">
        <v>8.3299999999999999E-2</v>
      </c>
      <c r="Q41" s="398">
        <v>8.3299999999999999E-2</v>
      </c>
      <c r="R41" s="398">
        <v>8.3699999999999997E-2</v>
      </c>
      <c r="S41" s="144">
        <f t="shared" si="0"/>
        <v>1</v>
      </c>
      <c r="T41" s="716"/>
      <c r="U41" s="779">
        <v>2.2200000000000001E-2</v>
      </c>
      <c r="V41" s="776" t="s">
        <v>1367</v>
      </c>
      <c r="W41" s="139"/>
      <c r="X41" s="139"/>
      <c r="Y41" s="139"/>
      <c r="Z41" s="139"/>
      <c r="AA41" s="139"/>
      <c r="AB41" s="139"/>
      <c r="AC41" s="139"/>
      <c r="AD41" s="139"/>
      <c r="AE41" s="139"/>
      <c r="AF41" s="139"/>
      <c r="AG41" s="139"/>
      <c r="AH41" s="139"/>
      <c r="AI41" s="139"/>
      <c r="AJ41" s="139"/>
      <c r="AK41" s="139"/>
      <c r="AL41" s="139"/>
      <c r="AM41" s="139"/>
      <c r="AN41" s="139"/>
      <c r="AO41" s="139"/>
    </row>
    <row r="42" spans="1:41" ht="50.25" customHeight="1" x14ac:dyDescent="0.25">
      <c r="A42" s="716"/>
      <c r="B42" s="716"/>
      <c r="C42" s="717"/>
      <c r="D42" s="717"/>
      <c r="E42" s="717"/>
      <c r="F42" s="140" t="s">
        <v>420</v>
      </c>
      <c r="G42" s="398">
        <v>8.3299999999999999E-2</v>
      </c>
      <c r="H42" s="398">
        <v>8.3299999999999999E-2</v>
      </c>
      <c r="I42" s="398">
        <v>8.3299999999999999E-2</v>
      </c>
      <c r="J42" s="398">
        <v>8.3299999999999999E-2</v>
      </c>
      <c r="K42" s="398">
        <v>8.3299999999999999E-2</v>
      </c>
      <c r="L42" s="398">
        <v>8.3299999999999999E-2</v>
      </c>
      <c r="M42" s="398">
        <v>8.3299999999999999E-2</v>
      </c>
      <c r="N42" s="398">
        <v>8.3299999999999999E-2</v>
      </c>
      <c r="O42" s="398">
        <v>8.3299999999999999E-2</v>
      </c>
      <c r="P42" s="398">
        <v>8.3299999999999999E-2</v>
      </c>
      <c r="Q42" s="398">
        <v>8.3299999999999999E-2</v>
      </c>
      <c r="R42" s="398">
        <v>8.3699999999999997E-2</v>
      </c>
      <c r="S42" s="141">
        <f t="shared" si="0"/>
        <v>1</v>
      </c>
      <c r="T42" s="716"/>
      <c r="U42" s="717"/>
      <c r="V42" s="717"/>
      <c r="W42" s="139"/>
      <c r="X42" s="139"/>
      <c r="Y42" s="139"/>
      <c r="Z42" s="139"/>
      <c r="AA42" s="139"/>
      <c r="AB42" s="139"/>
      <c r="AC42" s="139"/>
      <c r="AD42" s="139"/>
      <c r="AE42" s="139"/>
      <c r="AF42" s="139"/>
      <c r="AG42" s="139"/>
      <c r="AH42" s="139"/>
      <c r="AI42" s="139"/>
      <c r="AJ42" s="139"/>
      <c r="AK42" s="139"/>
      <c r="AL42" s="139"/>
      <c r="AM42" s="139"/>
      <c r="AN42" s="139"/>
      <c r="AO42" s="139"/>
    </row>
    <row r="43" spans="1:41" ht="50.25" customHeight="1" x14ac:dyDescent="0.25">
      <c r="A43" s="716"/>
      <c r="B43" s="716"/>
      <c r="C43" s="777" t="s">
        <v>446</v>
      </c>
      <c r="D43" s="778" t="s">
        <v>418</v>
      </c>
      <c r="E43" s="778"/>
      <c r="F43" s="144" t="s">
        <v>419</v>
      </c>
      <c r="G43" s="398">
        <v>0.05</v>
      </c>
      <c r="H43" s="398">
        <v>0.05</v>
      </c>
      <c r="I43" s="398">
        <v>0.1</v>
      </c>
      <c r="J43" s="398">
        <v>0.1</v>
      </c>
      <c r="K43" s="398">
        <v>0.1</v>
      </c>
      <c r="L43" s="398">
        <v>0.1</v>
      </c>
      <c r="M43" s="398">
        <v>0.1</v>
      </c>
      <c r="N43" s="398">
        <v>0.1</v>
      </c>
      <c r="O43" s="398">
        <v>0.1</v>
      </c>
      <c r="P43" s="398">
        <v>0.1</v>
      </c>
      <c r="Q43" s="398">
        <v>0.05</v>
      </c>
      <c r="R43" s="398">
        <v>0.05</v>
      </c>
      <c r="S43" s="144">
        <f t="shared" si="0"/>
        <v>1</v>
      </c>
      <c r="T43" s="716"/>
      <c r="U43" s="779">
        <v>2.2200000000000001E-2</v>
      </c>
      <c r="V43" s="776" t="s">
        <v>447</v>
      </c>
      <c r="W43" s="139"/>
      <c r="X43" s="139"/>
      <c r="Y43" s="139"/>
      <c r="Z43" s="139"/>
      <c r="AA43" s="139"/>
      <c r="AB43" s="139"/>
      <c r="AC43" s="139"/>
      <c r="AD43" s="139"/>
      <c r="AE43" s="139"/>
      <c r="AF43" s="139"/>
      <c r="AG43" s="139"/>
      <c r="AH43" s="139"/>
      <c r="AI43" s="139"/>
      <c r="AJ43" s="139"/>
      <c r="AK43" s="139"/>
      <c r="AL43" s="139"/>
      <c r="AM43" s="139"/>
      <c r="AN43" s="139"/>
      <c r="AO43" s="139"/>
    </row>
    <row r="44" spans="1:41" ht="50.25" customHeight="1" x14ac:dyDescent="0.25">
      <c r="A44" s="716"/>
      <c r="B44" s="716"/>
      <c r="C44" s="717"/>
      <c r="D44" s="717"/>
      <c r="E44" s="717"/>
      <c r="F44" s="140" t="s">
        <v>420</v>
      </c>
      <c r="G44" s="398">
        <v>0.05</v>
      </c>
      <c r="H44" s="398">
        <v>0.05</v>
      </c>
      <c r="I44" s="398">
        <v>0.1</v>
      </c>
      <c r="J44" s="398">
        <v>0.1</v>
      </c>
      <c r="K44" s="398">
        <v>0.1</v>
      </c>
      <c r="L44" s="398">
        <v>0.1</v>
      </c>
      <c r="M44" s="398">
        <v>0.1</v>
      </c>
      <c r="N44" s="398">
        <v>0.1</v>
      </c>
      <c r="O44" s="398">
        <v>0.1</v>
      </c>
      <c r="P44" s="398">
        <v>0.1</v>
      </c>
      <c r="Q44" s="398">
        <v>0.05</v>
      </c>
      <c r="R44" s="398">
        <v>0.05</v>
      </c>
      <c r="S44" s="141">
        <f t="shared" si="0"/>
        <v>1</v>
      </c>
      <c r="T44" s="716"/>
      <c r="U44" s="717"/>
      <c r="V44" s="717"/>
      <c r="W44" s="142"/>
      <c r="X44" s="142"/>
      <c r="Y44" s="142"/>
      <c r="Z44" s="142"/>
      <c r="AA44" s="142"/>
      <c r="AB44" s="142"/>
      <c r="AC44" s="142"/>
      <c r="AD44" s="142"/>
      <c r="AE44" s="142"/>
      <c r="AF44" s="142"/>
      <c r="AG44" s="142"/>
      <c r="AH44" s="142"/>
      <c r="AI44" s="142"/>
      <c r="AJ44" s="142"/>
      <c r="AK44" s="142"/>
      <c r="AL44" s="142"/>
      <c r="AM44" s="142"/>
      <c r="AN44" s="142"/>
      <c r="AO44" s="142"/>
    </row>
    <row r="45" spans="1:41" ht="50.25" customHeight="1" x14ac:dyDescent="0.25">
      <c r="A45" s="716"/>
      <c r="B45" s="716"/>
      <c r="C45" s="777" t="s">
        <v>448</v>
      </c>
      <c r="D45" s="778" t="s">
        <v>418</v>
      </c>
      <c r="E45" s="778"/>
      <c r="F45" s="144" t="s">
        <v>419</v>
      </c>
      <c r="G45" s="398">
        <v>0</v>
      </c>
      <c r="H45" s="398">
        <v>0.06</v>
      </c>
      <c r="I45" s="398">
        <v>0.1</v>
      </c>
      <c r="J45" s="398">
        <v>0.1</v>
      </c>
      <c r="K45" s="398">
        <v>0.1</v>
      </c>
      <c r="L45" s="398">
        <v>0.1</v>
      </c>
      <c r="M45" s="398">
        <v>0.1</v>
      </c>
      <c r="N45" s="398">
        <v>0.1</v>
      </c>
      <c r="O45" s="398">
        <v>0.1</v>
      </c>
      <c r="P45" s="398">
        <v>0.1</v>
      </c>
      <c r="Q45" s="398">
        <v>0.1</v>
      </c>
      <c r="R45" s="398">
        <v>0.04</v>
      </c>
      <c r="S45" s="144">
        <f t="shared" si="0"/>
        <v>0.99999999999999989</v>
      </c>
      <c r="T45" s="716"/>
      <c r="U45" s="779">
        <v>2.2200000000000001E-2</v>
      </c>
      <c r="V45" s="776" t="s">
        <v>449</v>
      </c>
      <c r="W45" s="139"/>
      <c r="X45" s="139"/>
      <c r="Y45" s="139"/>
      <c r="Z45" s="139"/>
      <c r="AA45" s="139"/>
      <c r="AB45" s="139"/>
      <c r="AC45" s="139"/>
      <c r="AD45" s="139"/>
      <c r="AE45" s="139"/>
      <c r="AF45" s="139"/>
      <c r="AG45" s="139"/>
      <c r="AH45" s="139"/>
      <c r="AI45" s="139"/>
      <c r="AJ45" s="139"/>
      <c r="AK45" s="139"/>
      <c r="AL45" s="139"/>
      <c r="AM45" s="139"/>
      <c r="AN45" s="139"/>
      <c r="AO45" s="139"/>
    </row>
    <row r="46" spans="1:41" ht="50.25" customHeight="1" x14ac:dyDescent="0.25">
      <c r="A46" s="717"/>
      <c r="B46" s="717"/>
      <c r="C46" s="717"/>
      <c r="D46" s="717"/>
      <c r="E46" s="717"/>
      <c r="F46" s="140" t="s">
        <v>420</v>
      </c>
      <c r="G46" s="398">
        <v>0</v>
      </c>
      <c r="H46" s="398">
        <v>0.06</v>
      </c>
      <c r="I46" s="398">
        <v>0.1</v>
      </c>
      <c r="J46" s="398">
        <v>0.1</v>
      </c>
      <c r="K46" s="398">
        <v>0.1</v>
      </c>
      <c r="L46" s="398">
        <v>0.1</v>
      </c>
      <c r="M46" s="398">
        <v>0.1</v>
      </c>
      <c r="N46" s="398">
        <v>0.1</v>
      </c>
      <c r="O46" s="398">
        <v>0.1</v>
      </c>
      <c r="P46" s="398">
        <v>0.1</v>
      </c>
      <c r="Q46" s="398">
        <v>0.1</v>
      </c>
      <c r="R46" s="398">
        <v>0.04</v>
      </c>
      <c r="S46" s="140">
        <f t="shared" si="0"/>
        <v>0.99999999999999989</v>
      </c>
      <c r="T46" s="717"/>
      <c r="U46" s="717"/>
      <c r="V46" s="717"/>
      <c r="W46" s="142"/>
      <c r="X46" s="142"/>
      <c r="Y46" s="142"/>
      <c r="Z46" s="142"/>
      <c r="AA46" s="142"/>
      <c r="AB46" s="146"/>
      <c r="AC46" s="146"/>
      <c r="AD46" s="146"/>
      <c r="AE46" s="146"/>
      <c r="AF46" s="146"/>
      <c r="AG46" s="146"/>
      <c r="AH46" s="146"/>
      <c r="AI46" s="146"/>
      <c r="AJ46" s="146"/>
      <c r="AK46" s="146"/>
      <c r="AL46" s="146"/>
      <c r="AM46" s="146"/>
      <c r="AN46" s="146"/>
      <c r="AO46" s="146"/>
    </row>
    <row r="47" spans="1:41" ht="18.75" customHeight="1" x14ac:dyDescent="0.25">
      <c r="A47" s="797" t="s">
        <v>450</v>
      </c>
      <c r="B47" s="798"/>
      <c r="C47" s="798"/>
      <c r="D47" s="798"/>
      <c r="E47" s="798"/>
      <c r="F47" s="798"/>
      <c r="G47" s="798"/>
      <c r="H47" s="798"/>
      <c r="I47" s="798"/>
      <c r="J47" s="798"/>
      <c r="K47" s="798"/>
      <c r="L47" s="798"/>
      <c r="M47" s="798"/>
      <c r="N47" s="798"/>
      <c r="O47" s="798"/>
      <c r="P47" s="798"/>
      <c r="Q47" s="798"/>
      <c r="R47" s="798"/>
      <c r="S47" s="799"/>
      <c r="T47" s="147">
        <f t="shared" ref="T47:U47" si="1">SUM(T9:T46)</f>
        <v>0.99999999999999989</v>
      </c>
      <c r="U47" s="147">
        <f t="shared" si="1"/>
        <v>1.0000000000000002</v>
      </c>
      <c r="V47" s="148"/>
      <c r="W47" s="149"/>
      <c r="X47" s="149"/>
      <c r="Y47" s="149"/>
      <c r="Z47" s="149"/>
      <c r="AA47" s="149"/>
      <c r="AB47" s="149"/>
      <c r="AC47" s="149"/>
      <c r="AD47" s="149"/>
      <c r="AE47" s="150"/>
      <c r="AF47" s="150"/>
      <c r="AG47" s="150"/>
      <c r="AH47" s="150"/>
      <c r="AI47" s="150"/>
      <c r="AJ47" s="150"/>
      <c r="AK47" s="150"/>
      <c r="AL47" s="150"/>
      <c r="AM47" s="150"/>
      <c r="AN47" s="150"/>
      <c r="AO47" s="150"/>
    </row>
    <row r="48" spans="1:41" ht="12.75" customHeight="1" x14ac:dyDescent="0.25">
      <c r="A48" s="133"/>
      <c r="B48" s="133"/>
      <c r="C48" s="151"/>
      <c r="D48" s="152"/>
      <c r="E48" s="152"/>
      <c r="F48" s="152"/>
      <c r="G48" s="152"/>
      <c r="H48" s="152"/>
      <c r="I48" s="152"/>
      <c r="J48" s="131"/>
      <c r="K48" s="152"/>
      <c r="L48" s="152"/>
      <c r="M48" s="152"/>
      <c r="N48" s="153"/>
      <c r="O48" s="153"/>
      <c r="P48" s="153"/>
      <c r="Q48" s="153"/>
      <c r="R48" s="153"/>
      <c r="S48" s="153"/>
      <c r="T48" s="153"/>
      <c r="U48" s="154"/>
      <c r="V48" s="154"/>
      <c r="W48" s="154"/>
      <c r="X48" s="131"/>
      <c r="Y48" s="131"/>
      <c r="Z48" s="131"/>
      <c r="AA48" s="131"/>
      <c r="AB48" s="131"/>
      <c r="AC48" s="131"/>
      <c r="AD48" s="131"/>
      <c r="AE48" s="131"/>
      <c r="AF48" s="131"/>
      <c r="AG48" s="131"/>
      <c r="AH48" s="131"/>
      <c r="AI48" s="131"/>
      <c r="AJ48" s="131"/>
      <c r="AK48" s="131"/>
      <c r="AL48" s="131"/>
      <c r="AM48" s="131"/>
      <c r="AN48" s="131"/>
      <c r="AO48" s="131"/>
    </row>
    <row r="49" spans="1:41" ht="12.75" customHeight="1" x14ac:dyDescent="0.25">
      <c r="A49" s="133"/>
      <c r="B49" s="133"/>
      <c r="C49" s="151"/>
      <c r="D49" s="152"/>
      <c r="E49" s="152"/>
      <c r="F49" s="152"/>
      <c r="G49" s="152"/>
      <c r="H49" s="152"/>
      <c r="I49" s="152"/>
      <c r="J49" s="131"/>
      <c r="K49" s="152"/>
      <c r="L49" s="152"/>
      <c r="M49" s="152"/>
      <c r="N49" s="153"/>
      <c r="O49" s="153"/>
      <c r="P49" s="153"/>
      <c r="Q49" s="153"/>
      <c r="R49" s="153"/>
      <c r="S49" s="153"/>
      <c r="T49" s="153"/>
      <c r="U49" s="155"/>
      <c r="V49" s="155"/>
      <c r="W49" s="155"/>
      <c r="X49" s="131"/>
      <c r="Y49" s="131"/>
      <c r="Z49" s="131"/>
      <c r="AA49" s="131"/>
      <c r="AB49" s="131"/>
      <c r="AC49" s="131"/>
      <c r="AD49" s="131"/>
      <c r="AE49" s="131"/>
      <c r="AF49" s="131"/>
      <c r="AG49" s="131"/>
      <c r="AH49" s="131"/>
      <c r="AI49" s="131"/>
      <c r="AJ49" s="131"/>
      <c r="AK49" s="131"/>
      <c r="AL49" s="131"/>
      <c r="AM49" s="131"/>
      <c r="AN49" s="131"/>
      <c r="AO49" s="131"/>
    </row>
    <row r="50" spans="1:41" ht="12.75" customHeight="1" x14ac:dyDescent="0.25">
      <c r="A50" s="133"/>
      <c r="B50" s="52"/>
      <c r="C50" s="1"/>
      <c r="D50" s="1"/>
      <c r="E50" s="1"/>
      <c r="F50" s="1"/>
      <c r="G50" s="2"/>
      <c r="H50" s="2"/>
      <c r="I50" s="2"/>
      <c r="J50" s="3"/>
      <c r="K50" s="2"/>
      <c r="L50" s="2"/>
      <c r="M50" s="2"/>
      <c r="N50" s="2"/>
      <c r="O50" s="2"/>
      <c r="P50" s="2"/>
      <c r="Q50" s="2"/>
      <c r="R50" s="2"/>
      <c r="S50" s="2"/>
      <c r="T50" s="2"/>
      <c r="U50" s="3"/>
      <c r="V50" s="3"/>
      <c r="W50" s="3"/>
      <c r="X50" s="54"/>
      <c r="Y50" s="3"/>
      <c r="Z50" s="3"/>
      <c r="AA50" s="3"/>
      <c r="AB50" s="3"/>
      <c r="AC50" s="3"/>
      <c r="AD50" s="3"/>
      <c r="AE50" s="3"/>
      <c r="AF50" s="3"/>
      <c r="AG50" s="3"/>
      <c r="AH50" s="3"/>
      <c r="AI50" s="3"/>
      <c r="AJ50" s="3"/>
      <c r="AK50" s="3"/>
      <c r="AL50" s="3"/>
      <c r="AM50" s="3"/>
      <c r="AN50" s="3"/>
      <c r="AO50" s="3"/>
    </row>
    <row r="51" spans="1:41" ht="26.25" customHeight="1" x14ac:dyDescent="0.25">
      <c r="A51" s="131"/>
      <c r="B51" s="60" t="s">
        <v>200</v>
      </c>
      <c r="C51" s="710" t="s">
        <v>201</v>
      </c>
      <c r="D51" s="711"/>
      <c r="E51" s="711"/>
      <c r="F51" s="711"/>
      <c r="G51" s="711"/>
      <c r="H51" s="712"/>
      <c r="I51" s="719" t="s">
        <v>202</v>
      </c>
      <c r="J51" s="711"/>
      <c r="K51" s="711"/>
      <c r="L51" s="711"/>
      <c r="M51" s="711"/>
      <c r="N51" s="711"/>
      <c r="O51" s="711"/>
      <c r="P51" s="711"/>
      <c r="Q51" s="712"/>
      <c r="R51" s="2"/>
      <c r="S51" s="2"/>
      <c r="T51" s="2"/>
      <c r="U51" s="3"/>
      <c r="V51" s="3"/>
      <c r="W51" s="3"/>
      <c r="X51" s="3"/>
      <c r="Y51" s="3"/>
      <c r="Z51" s="3"/>
      <c r="AA51" s="3"/>
      <c r="AB51" s="3"/>
      <c r="AC51" s="3"/>
      <c r="AD51" s="3"/>
      <c r="AE51" s="3"/>
      <c r="AF51" s="3"/>
      <c r="AG51" s="3"/>
      <c r="AH51" s="3"/>
      <c r="AI51" s="3"/>
      <c r="AJ51" s="3"/>
      <c r="AK51" s="3"/>
      <c r="AL51" s="3"/>
      <c r="AM51" s="3"/>
      <c r="AN51" s="3"/>
      <c r="AO51" s="3"/>
    </row>
    <row r="52" spans="1:41" ht="38.25" customHeight="1" x14ac:dyDescent="0.25">
      <c r="A52" s="133"/>
      <c r="B52" s="61">
        <v>13</v>
      </c>
      <c r="C52" s="713" t="s">
        <v>203</v>
      </c>
      <c r="D52" s="711"/>
      <c r="E52" s="711"/>
      <c r="F52" s="711"/>
      <c r="G52" s="711"/>
      <c r="H52" s="712"/>
      <c r="I52" s="714" t="s">
        <v>204</v>
      </c>
      <c r="J52" s="711"/>
      <c r="K52" s="711"/>
      <c r="L52" s="711"/>
      <c r="M52" s="711"/>
      <c r="N52" s="711"/>
      <c r="O52" s="711"/>
      <c r="P52" s="711"/>
      <c r="Q52" s="712"/>
      <c r="R52" s="2"/>
      <c r="S52" s="2"/>
      <c r="T52" s="2"/>
      <c r="U52" s="2"/>
      <c r="V52" s="3"/>
      <c r="W52" s="800"/>
      <c r="X52" s="673"/>
      <c r="Y52" s="673"/>
      <c r="Z52" s="673"/>
      <c r="AA52" s="673"/>
      <c r="AB52" s="673"/>
      <c r="AC52" s="673"/>
      <c r="AD52" s="673"/>
      <c r="AE52" s="673"/>
      <c r="AF52" s="673"/>
      <c r="AG52" s="673"/>
      <c r="AH52" s="673"/>
      <c r="AI52" s="673"/>
      <c r="AJ52" s="673"/>
      <c r="AK52" s="673"/>
      <c r="AL52" s="673"/>
      <c r="AM52" s="673"/>
      <c r="AN52" s="673"/>
      <c r="AO52" s="673"/>
    </row>
    <row r="53" spans="1:41" ht="26.25" customHeight="1" x14ac:dyDescent="0.25">
      <c r="A53" s="133"/>
      <c r="B53" s="61">
        <v>14</v>
      </c>
      <c r="C53" s="713" t="s">
        <v>205</v>
      </c>
      <c r="D53" s="711"/>
      <c r="E53" s="711"/>
      <c r="F53" s="711"/>
      <c r="G53" s="711"/>
      <c r="H53" s="712"/>
      <c r="I53" s="714" t="s">
        <v>206</v>
      </c>
      <c r="J53" s="711"/>
      <c r="K53" s="711"/>
      <c r="L53" s="711"/>
      <c r="M53" s="711"/>
      <c r="N53" s="711"/>
      <c r="O53" s="711"/>
      <c r="P53" s="711"/>
      <c r="Q53" s="712"/>
      <c r="R53" s="2"/>
      <c r="S53" s="2"/>
      <c r="T53" s="2"/>
      <c r="U53" s="2"/>
      <c r="V53" s="3"/>
      <c r="W53" s="3"/>
      <c r="X53" s="3"/>
      <c r="Y53" s="3"/>
      <c r="Z53" s="3"/>
      <c r="AA53" s="3"/>
      <c r="AB53" s="3"/>
      <c r="AC53" s="3"/>
      <c r="AD53" s="3"/>
      <c r="AE53" s="3"/>
      <c r="AF53" s="3"/>
      <c r="AG53" s="3"/>
      <c r="AH53" s="3"/>
      <c r="AI53" s="3"/>
      <c r="AJ53" s="3"/>
      <c r="AK53" s="3"/>
      <c r="AL53" s="3"/>
      <c r="AM53" s="3"/>
      <c r="AN53" s="3"/>
      <c r="AO53" s="3"/>
    </row>
    <row r="54" spans="1:41" ht="12.75" customHeight="1" x14ac:dyDescent="0.25">
      <c r="A54" s="133"/>
      <c r="B54" s="133"/>
      <c r="C54" s="151"/>
      <c r="D54" s="152"/>
      <c r="E54" s="152"/>
      <c r="F54" s="152"/>
      <c r="G54" s="152"/>
      <c r="H54" s="152"/>
      <c r="I54" s="152"/>
      <c r="J54" s="131"/>
      <c r="K54" s="152"/>
      <c r="L54" s="152"/>
      <c r="M54" s="152"/>
      <c r="N54" s="153"/>
      <c r="O54" s="153"/>
      <c r="P54" s="153"/>
      <c r="Q54" s="153"/>
      <c r="R54" s="153"/>
      <c r="S54" s="153"/>
      <c r="T54" s="153"/>
      <c r="U54" s="153"/>
      <c r="V54" s="156"/>
      <c r="W54" s="131"/>
      <c r="X54" s="131"/>
      <c r="Y54" s="131"/>
      <c r="Z54" s="131"/>
      <c r="AA54" s="131"/>
      <c r="AB54" s="131"/>
      <c r="AC54" s="131"/>
      <c r="AD54" s="131"/>
      <c r="AE54" s="131"/>
      <c r="AF54" s="131"/>
      <c r="AG54" s="131"/>
      <c r="AH54" s="131"/>
      <c r="AI54" s="131"/>
      <c r="AJ54" s="131"/>
      <c r="AK54" s="131"/>
      <c r="AL54" s="131"/>
      <c r="AM54" s="131"/>
      <c r="AN54" s="131"/>
      <c r="AO54" s="131"/>
    </row>
    <row r="55" spans="1:41" ht="12.75" customHeight="1" x14ac:dyDescent="0.25">
      <c r="A55" s="133"/>
      <c r="B55" s="133"/>
      <c r="C55" s="151"/>
      <c r="D55" s="152"/>
      <c r="E55" s="152"/>
      <c r="F55" s="152"/>
      <c r="G55" s="152"/>
      <c r="H55" s="152"/>
      <c r="I55" s="152"/>
      <c r="J55" s="131"/>
      <c r="K55" s="152"/>
      <c r="L55" s="152"/>
      <c r="M55" s="152"/>
      <c r="N55" s="153"/>
      <c r="O55" s="153"/>
      <c r="P55" s="153"/>
      <c r="Q55" s="153"/>
      <c r="R55" s="153"/>
      <c r="S55" s="153"/>
      <c r="T55" s="153"/>
      <c r="U55" s="153"/>
      <c r="V55" s="156"/>
      <c r="W55" s="131"/>
      <c r="X55" s="131"/>
      <c r="Y55" s="131"/>
      <c r="Z55" s="131"/>
      <c r="AA55" s="131"/>
      <c r="AB55" s="131"/>
      <c r="AC55" s="131"/>
      <c r="AD55" s="131"/>
      <c r="AE55" s="131"/>
      <c r="AF55" s="131"/>
      <c r="AG55" s="131"/>
      <c r="AH55" s="131"/>
      <c r="AI55" s="131"/>
      <c r="AJ55" s="131"/>
      <c r="AK55" s="131"/>
      <c r="AL55" s="131"/>
      <c r="AM55" s="131"/>
      <c r="AN55" s="131"/>
      <c r="AO55" s="131"/>
    </row>
    <row r="56" spans="1:41" ht="12.75" customHeight="1" x14ac:dyDescent="0.25">
      <c r="A56" s="133"/>
      <c r="B56" s="133"/>
      <c r="C56" s="151"/>
      <c r="D56" s="152"/>
      <c r="E56" s="152"/>
      <c r="F56" s="152"/>
      <c r="G56" s="152"/>
      <c r="H56" s="152"/>
      <c r="I56" s="152"/>
      <c r="J56" s="131"/>
      <c r="K56" s="152"/>
      <c r="L56" s="152"/>
      <c r="M56" s="152"/>
      <c r="N56" s="153"/>
      <c r="O56" s="153"/>
      <c r="P56" s="153"/>
      <c r="Q56" s="153"/>
      <c r="R56" s="153"/>
      <c r="S56" s="153"/>
      <c r="T56" s="153"/>
      <c r="U56" s="153"/>
      <c r="V56" s="156"/>
      <c r="W56" s="131"/>
      <c r="X56" s="131"/>
      <c r="Y56" s="131"/>
      <c r="Z56" s="131"/>
      <c r="AA56" s="131"/>
      <c r="AB56" s="131"/>
      <c r="AC56" s="131"/>
      <c r="AD56" s="131"/>
      <c r="AE56" s="131"/>
      <c r="AF56" s="131"/>
      <c r="AG56" s="131"/>
      <c r="AH56" s="131"/>
      <c r="AI56" s="131"/>
      <c r="AJ56" s="131"/>
      <c r="AK56" s="131"/>
      <c r="AL56" s="131"/>
      <c r="AM56" s="131"/>
      <c r="AN56" s="131"/>
      <c r="AO56" s="131"/>
    </row>
    <row r="57" spans="1:41" ht="12.75" customHeight="1" x14ac:dyDescent="0.25">
      <c r="A57" s="133"/>
      <c r="B57" s="133"/>
      <c r="C57" s="151"/>
      <c r="D57" s="152"/>
      <c r="E57" s="152"/>
      <c r="F57" s="152"/>
      <c r="G57" s="152"/>
      <c r="H57" s="152"/>
      <c r="I57" s="152"/>
      <c r="J57" s="131"/>
      <c r="K57" s="152"/>
      <c r="L57" s="152"/>
      <c r="M57" s="152"/>
      <c r="N57" s="153"/>
      <c r="O57" s="153"/>
      <c r="P57" s="153"/>
      <c r="Q57" s="153"/>
      <c r="R57" s="153"/>
      <c r="S57" s="153"/>
      <c r="T57" s="153"/>
      <c r="U57" s="153"/>
      <c r="V57" s="156"/>
      <c r="W57" s="131"/>
      <c r="X57" s="131"/>
      <c r="Y57" s="131"/>
      <c r="Z57" s="131"/>
      <c r="AA57" s="131"/>
      <c r="AB57" s="131"/>
      <c r="AC57" s="131"/>
      <c r="AD57" s="131"/>
      <c r="AE57" s="131"/>
      <c r="AF57" s="131"/>
      <c r="AG57" s="131"/>
      <c r="AH57" s="131"/>
      <c r="AI57" s="131"/>
      <c r="AJ57" s="131"/>
      <c r="AK57" s="131"/>
      <c r="AL57" s="131"/>
      <c r="AM57" s="131"/>
      <c r="AN57" s="131"/>
      <c r="AO57" s="131"/>
    </row>
    <row r="58" spans="1:41" ht="12.75" customHeight="1" x14ac:dyDescent="0.25">
      <c r="A58" s="133"/>
      <c r="B58" s="133"/>
      <c r="C58" s="151"/>
      <c r="D58" s="152"/>
      <c r="E58" s="152"/>
      <c r="F58" s="152"/>
      <c r="G58" s="152"/>
      <c r="H58" s="152"/>
      <c r="I58" s="152"/>
      <c r="J58" s="131"/>
      <c r="K58" s="152"/>
      <c r="L58" s="152"/>
      <c r="M58" s="152"/>
      <c r="N58" s="153"/>
      <c r="O58" s="153"/>
      <c r="P58" s="153"/>
      <c r="Q58" s="153"/>
      <c r="R58" s="153"/>
      <c r="S58" s="153"/>
      <c r="T58" s="153"/>
      <c r="U58" s="153"/>
      <c r="V58" s="156"/>
      <c r="W58" s="131"/>
      <c r="X58" s="131"/>
      <c r="Y58" s="131"/>
      <c r="Z58" s="131"/>
      <c r="AA58" s="131"/>
      <c r="AB58" s="131"/>
      <c r="AC58" s="131"/>
      <c r="AD58" s="131"/>
      <c r="AE58" s="131"/>
      <c r="AF58" s="131"/>
      <c r="AG58" s="131"/>
      <c r="AH58" s="131"/>
      <c r="AI58" s="131"/>
      <c r="AJ58" s="131"/>
      <c r="AK58" s="131"/>
      <c r="AL58" s="131"/>
      <c r="AM58" s="131"/>
      <c r="AN58" s="131"/>
      <c r="AO58" s="131"/>
    </row>
    <row r="59" spans="1:41" ht="12.75" customHeight="1" x14ac:dyDescent="0.25">
      <c r="A59" s="133"/>
      <c r="B59" s="133"/>
      <c r="C59" s="151"/>
      <c r="D59" s="152"/>
      <c r="E59" s="152"/>
      <c r="F59" s="152"/>
      <c r="G59" s="152"/>
      <c r="H59" s="152"/>
      <c r="I59" s="152"/>
      <c r="J59" s="131"/>
      <c r="K59" s="152"/>
      <c r="L59" s="152"/>
      <c r="M59" s="152"/>
      <c r="N59" s="153"/>
      <c r="O59" s="153"/>
      <c r="P59" s="153"/>
      <c r="Q59" s="153"/>
      <c r="R59" s="153"/>
      <c r="S59" s="153"/>
      <c r="T59" s="153"/>
      <c r="U59" s="153"/>
      <c r="V59" s="156"/>
      <c r="W59" s="131"/>
      <c r="X59" s="131"/>
      <c r="Y59" s="131"/>
      <c r="Z59" s="131"/>
      <c r="AA59" s="131"/>
      <c r="AB59" s="131"/>
      <c r="AC59" s="131"/>
      <c r="AD59" s="131"/>
      <c r="AE59" s="131"/>
      <c r="AF59" s="131"/>
      <c r="AG59" s="131"/>
      <c r="AH59" s="131"/>
      <c r="AI59" s="131"/>
      <c r="AJ59" s="131"/>
      <c r="AK59" s="131"/>
      <c r="AL59" s="131"/>
      <c r="AM59" s="131"/>
      <c r="AN59" s="131"/>
      <c r="AO59" s="131"/>
    </row>
    <row r="60" spans="1:41" ht="12.75" customHeight="1" x14ac:dyDescent="0.25">
      <c r="A60" s="133"/>
      <c r="B60" s="133"/>
      <c r="C60" s="151"/>
      <c r="D60" s="152"/>
      <c r="E60" s="152"/>
      <c r="F60" s="152"/>
      <c r="G60" s="152"/>
      <c r="H60" s="152"/>
      <c r="I60" s="152"/>
      <c r="J60" s="131"/>
      <c r="K60" s="152"/>
      <c r="L60" s="152"/>
      <c r="M60" s="152"/>
      <c r="N60" s="153"/>
      <c r="O60" s="153"/>
      <c r="P60" s="153"/>
      <c r="Q60" s="153"/>
      <c r="R60" s="153"/>
      <c r="S60" s="153"/>
      <c r="T60" s="153"/>
      <c r="U60" s="153"/>
      <c r="V60" s="156"/>
      <c r="W60" s="131"/>
      <c r="X60" s="131"/>
      <c r="Y60" s="131"/>
      <c r="Z60" s="131"/>
      <c r="AA60" s="131"/>
      <c r="AB60" s="131"/>
      <c r="AC60" s="131"/>
      <c r="AD60" s="131"/>
      <c r="AE60" s="131"/>
      <c r="AF60" s="131"/>
      <c r="AG60" s="131"/>
      <c r="AH60" s="131"/>
      <c r="AI60" s="131"/>
      <c r="AJ60" s="131"/>
      <c r="AK60" s="131"/>
      <c r="AL60" s="131"/>
      <c r="AM60" s="131"/>
      <c r="AN60" s="131"/>
      <c r="AO60" s="131"/>
    </row>
    <row r="61" spans="1:41" ht="12.75" customHeight="1" x14ac:dyDescent="0.25">
      <c r="A61" s="133"/>
      <c r="B61" s="133"/>
      <c r="C61" s="151"/>
      <c r="D61" s="152"/>
      <c r="E61" s="152"/>
      <c r="F61" s="152"/>
      <c r="G61" s="152"/>
      <c r="H61" s="152"/>
      <c r="I61" s="152"/>
      <c r="J61" s="131"/>
      <c r="K61" s="152"/>
      <c r="L61" s="152"/>
      <c r="M61" s="152"/>
      <c r="N61" s="153"/>
      <c r="O61" s="153"/>
      <c r="P61" s="153"/>
      <c r="Q61" s="153"/>
      <c r="R61" s="153"/>
      <c r="S61" s="153"/>
      <c r="T61" s="153"/>
      <c r="U61" s="153"/>
      <c r="V61" s="156"/>
      <c r="W61" s="131"/>
      <c r="X61" s="131"/>
      <c r="Y61" s="131"/>
      <c r="Z61" s="131"/>
      <c r="AA61" s="131"/>
      <c r="AB61" s="131"/>
      <c r="AC61" s="131"/>
      <c r="AD61" s="131"/>
      <c r="AE61" s="131"/>
      <c r="AF61" s="131"/>
      <c r="AG61" s="131"/>
      <c r="AH61" s="131"/>
      <c r="AI61" s="131"/>
      <c r="AJ61" s="131"/>
      <c r="AK61" s="131"/>
      <c r="AL61" s="131"/>
      <c r="AM61" s="131"/>
      <c r="AN61" s="131"/>
      <c r="AO61" s="131"/>
    </row>
    <row r="62" spans="1:41" ht="12.75" customHeight="1" x14ac:dyDescent="0.25">
      <c r="A62" s="133"/>
      <c r="B62" s="133"/>
      <c r="C62" s="151"/>
      <c r="D62" s="152"/>
      <c r="E62" s="152"/>
      <c r="F62" s="152"/>
      <c r="G62" s="152"/>
      <c r="H62" s="152"/>
      <c r="I62" s="152"/>
      <c r="J62" s="131"/>
      <c r="K62" s="152"/>
      <c r="L62" s="152"/>
      <c r="M62" s="152"/>
      <c r="N62" s="153"/>
      <c r="O62" s="153"/>
      <c r="P62" s="153"/>
      <c r="Q62" s="153"/>
      <c r="R62" s="153"/>
      <c r="S62" s="153"/>
      <c r="T62" s="153"/>
      <c r="U62" s="153"/>
      <c r="V62" s="156"/>
      <c r="W62" s="131"/>
      <c r="X62" s="131"/>
      <c r="Y62" s="131"/>
      <c r="Z62" s="131"/>
      <c r="AA62" s="131"/>
      <c r="AB62" s="131"/>
      <c r="AC62" s="131"/>
      <c r="AD62" s="131"/>
      <c r="AE62" s="131"/>
      <c r="AF62" s="131"/>
      <c r="AG62" s="131"/>
      <c r="AH62" s="131"/>
      <c r="AI62" s="131"/>
      <c r="AJ62" s="131"/>
      <c r="AK62" s="131"/>
      <c r="AL62" s="131"/>
      <c r="AM62" s="131"/>
      <c r="AN62" s="131"/>
      <c r="AO62" s="131"/>
    </row>
    <row r="63" spans="1:41" ht="12.75" customHeight="1" x14ac:dyDescent="0.25">
      <c r="A63" s="133"/>
      <c r="B63" s="133"/>
      <c r="C63" s="151"/>
      <c r="D63" s="152"/>
      <c r="E63" s="152"/>
      <c r="F63" s="152"/>
      <c r="G63" s="152"/>
      <c r="H63" s="152"/>
      <c r="I63" s="152"/>
      <c r="J63" s="131"/>
      <c r="K63" s="152"/>
      <c r="L63" s="152"/>
      <c r="M63" s="152"/>
      <c r="N63" s="153"/>
      <c r="O63" s="153"/>
      <c r="P63" s="153"/>
      <c r="Q63" s="153"/>
      <c r="R63" s="153"/>
      <c r="S63" s="153"/>
      <c r="T63" s="153"/>
      <c r="U63" s="153"/>
      <c r="V63" s="156"/>
      <c r="W63" s="131"/>
      <c r="X63" s="131"/>
      <c r="Y63" s="131"/>
      <c r="Z63" s="131"/>
      <c r="AA63" s="131"/>
      <c r="AB63" s="131"/>
      <c r="AC63" s="131"/>
      <c r="AD63" s="131"/>
      <c r="AE63" s="131"/>
      <c r="AF63" s="131"/>
      <c r="AG63" s="131"/>
      <c r="AH63" s="131"/>
      <c r="AI63" s="131"/>
      <c r="AJ63" s="131"/>
      <c r="AK63" s="131"/>
      <c r="AL63" s="131"/>
      <c r="AM63" s="131"/>
      <c r="AN63" s="131"/>
      <c r="AO63" s="131"/>
    </row>
    <row r="64" spans="1:41" ht="12.75" customHeight="1" x14ac:dyDescent="0.25">
      <c r="A64" s="133"/>
      <c r="B64" s="133"/>
      <c r="C64" s="151"/>
      <c r="D64" s="152"/>
      <c r="E64" s="152"/>
      <c r="F64" s="152"/>
      <c r="G64" s="152"/>
      <c r="H64" s="152"/>
      <c r="I64" s="152"/>
      <c r="J64" s="131"/>
      <c r="K64" s="152"/>
      <c r="L64" s="152"/>
      <c r="M64" s="152"/>
      <c r="N64" s="153"/>
      <c r="O64" s="153"/>
      <c r="P64" s="153"/>
      <c r="Q64" s="153"/>
      <c r="R64" s="153"/>
      <c r="S64" s="153"/>
      <c r="T64" s="153"/>
      <c r="U64" s="153"/>
      <c r="V64" s="156"/>
      <c r="W64" s="131"/>
      <c r="X64" s="131"/>
      <c r="Y64" s="131"/>
      <c r="Z64" s="131"/>
      <c r="AA64" s="131"/>
      <c r="AB64" s="131"/>
      <c r="AC64" s="131"/>
      <c r="AD64" s="131"/>
      <c r="AE64" s="131"/>
      <c r="AF64" s="131"/>
      <c r="AG64" s="131"/>
      <c r="AH64" s="131"/>
      <c r="AI64" s="131"/>
      <c r="AJ64" s="131"/>
      <c r="AK64" s="131"/>
      <c r="AL64" s="131"/>
      <c r="AM64" s="131"/>
      <c r="AN64" s="131"/>
      <c r="AO64" s="131"/>
    </row>
    <row r="65" spans="1:41" ht="12.75" customHeight="1" x14ac:dyDescent="0.25">
      <c r="A65" s="133"/>
      <c r="B65" s="133"/>
      <c r="C65" s="151"/>
      <c r="D65" s="152"/>
      <c r="E65" s="152"/>
      <c r="F65" s="152"/>
      <c r="G65" s="152"/>
      <c r="H65" s="152"/>
      <c r="I65" s="152"/>
      <c r="J65" s="131"/>
      <c r="K65" s="152"/>
      <c r="L65" s="152"/>
      <c r="M65" s="152"/>
      <c r="N65" s="153"/>
      <c r="O65" s="153"/>
      <c r="P65" s="153"/>
      <c r="Q65" s="153"/>
      <c r="R65" s="153"/>
      <c r="S65" s="153"/>
      <c r="T65" s="153"/>
      <c r="U65" s="153"/>
      <c r="V65" s="156"/>
      <c r="W65" s="131"/>
      <c r="X65" s="131"/>
      <c r="Y65" s="131"/>
      <c r="Z65" s="131"/>
      <c r="AA65" s="131"/>
      <c r="AB65" s="131"/>
      <c r="AC65" s="131"/>
      <c r="AD65" s="131"/>
      <c r="AE65" s="131"/>
      <c r="AF65" s="131"/>
      <c r="AG65" s="131"/>
      <c r="AH65" s="131"/>
      <c r="AI65" s="131"/>
      <c r="AJ65" s="131"/>
      <c r="AK65" s="131"/>
      <c r="AL65" s="131"/>
      <c r="AM65" s="131"/>
      <c r="AN65" s="131"/>
      <c r="AO65" s="131"/>
    </row>
    <row r="66" spans="1:41" ht="12.75" customHeight="1" x14ac:dyDescent="0.25">
      <c r="A66" s="133"/>
      <c r="B66" s="133"/>
      <c r="C66" s="151"/>
      <c r="D66" s="152"/>
      <c r="E66" s="152"/>
      <c r="F66" s="152"/>
      <c r="G66" s="152"/>
      <c r="H66" s="152"/>
      <c r="I66" s="152"/>
      <c r="J66" s="131"/>
      <c r="K66" s="152"/>
      <c r="L66" s="152"/>
      <c r="M66" s="152"/>
      <c r="N66" s="153"/>
      <c r="O66" s="153"/>
      <c r="P66" s="153"/>
      <c r="Q66" s="153"/>
      <c r="R66" s="153"/>
      <c r="S66" s="153"/>
      <c r="T66" s="153"/>
      <c r="U66" s="153"/>
      <c r="V66" s="156"/>
      <c r="W66" s="131"/>
      <c r="X66" s="131"/>
      <c r="Y66" s="131"/>
      <c r="Z66" s="131"/>
      <c r="AA66" s="131"/>
      <c r="AB66" s="131"/>
      <c r="AC66" s="131"/>
      <c r="AD66" s="131"/>
      <c r="AE66" s="131"/>
      <c r="AF66" s="131"/>
      <c r="AG66" s="131"/>
      <c r="AH66" s="131"/>
      <c r="AI66" s="131"/>
      <c r="AJ66" s="131"/>
      <c r="AK66" s="131"/>
      <c r="AL66" s="131"/>
      <c r="AM66" s="131"/>
      <c r="AN66" s="131"/>
      <c r="AO66" s="131"/>
    </row>
    <row r="67" spans="1:41" ht="12.75" customHeight="1" x14ac:dyDescent="0.25">
      <c r="A67" s="133"/>
      <c r="B67" s="133"/>
      <c r="C67" s="151"/>
      <c r="D67" s="152"/>
      <c r="E67" s="152"/>
      <c r="F67" s="152"/>
      <c r="G67" s="152"/>
      <c r="H67" s="152"/>
      <c r="I67" s="152"/>
      <c r="J67" s="131"/>
      <c r="K67" s="152"/>
      <c r="L67" s="152"/>
      <c r="M67" s="152"/>
      <c r="N67" s="153"/>
      <c r="O67" s="153"/>
      <c r="P67" s="153"/>
      <c r="Q67" s="153"/>
      <c r="R67" s="153"/>
      <c r="S67" s="153"/>
      <c r="T67" s="153"/>
      <c r="U67" s="153"/>
      <c r="V67" s="156"/>
      <c r="W67" s="131"/>
      <c r="X67" s="131"/>
      <c r="Y67" s="131"/>
      <c r="Z67" s="131"/>
      <c r="AA67" s="131"/>
      <c r="AB67" s="131"/>
      <c r="AC67" s="131"/>
      <c r="AD67" s="131"/>
      <c r="AE67" s="131"/>
      <c r="AF67" s="131"/>
      <c r="AG67" s="131"/>
      <c r="AH67" s="131"/>
      <c r="AI67" s="131"/>
      <c r="AJ67" s="131"/>
      <c r="AK67" s="131"/>
      <c r="AL67" s="131"/>
      <c r="AM67" s="131"/>
      <c r="AN67" s="131"/>
      <c r="AO67" s="131"/>
    </row>
    <row r="68" spans="1:41" ht="12.75" customHeight="1" x14ac:dyDescent="0.25">
      <c r="A68" s="133"/>
      <c r="B68" s="133"/>
      <c r="C68" s="151"/>
      <c r="D68" s="152"/>
      <c r="E68" s="152"/>
      <c r="F68" s="152"/>
      <c r="G68" s="152"/>
      <c r="H68" s="152"/>
      <c r="I68" s="152"/>
      <c r="J68" s="131"/>
      <c r="K68" s="152"/>
      <c r="L68" s="152"/>
      <c r="M68" s="152"/>
      <c r="N68" s="153"/>
      <c r="O68" s="153"/>
      <c r="P68" s="153"/>
      <c r="Q68" s="153"/>
      <c r="R68" s="153"/>
      <c r="S68" s="153"/>
      <c r="T68" s="153"/>
      <c r="U68" s="153"/>
      <c r="V68" s="156"/>
      <c r="W68" s="131"/>
      <c r="X68" s="131"/>
      <c r="Y68" s="131"/>
      <c r="Z68" s="131"/>
      <c r="AA68" s="131"/>
      <c r="AB68" s="131"/>
      <c r="AC68" s="131"/>
      <c r="AD68" s="131"/>
      <c r="AE68" s="131"/>
      <c r="AF68" s="131"/>
      <c r="AG68" s="131"/>
      <c r="AH68" s="131"/>
      <c r="AI68" s="131"/>
      <c r="AJ68" s="131"/>
      <c r="AK68" s="131"/>
      <c r="AL68" s="131"/>
      <c r="AM68" s="131"/>
      <c r="AN68" s="131"/>
      <c r="AO68" s="131"/>
    </row>
    <row r="69" spans="1:41" ht="12.75" customHeight="1" x14ac:dyDescent="0.25">
      <c r="A69" s="133"/>
      <c r="B69" s="133"/>
      <c r="C69" s="151"/>
      <c r="D69" s="152"/>
      <c r="E69" s="152"/>
      <c r="F69" s="152"/>
      <c r="G69" s="152"/>
      <c r="H69" s="152"/>
      <c r="I69" s="152"/>
      <c r="J69" s="131"/>
      <c r="K69" s="152"/>
      <c r="L69" s="152"/>
      <c r="M69" s="152"/>
      <c r="N69" s="153"/>
      <c r="O69" s="153"/>
      <c r="P69" s="153"/>
      <c r="Q69" s="153"/>
      <c r="R69" s="153"/>
      <c r="S69" s="153"/>
      <c r="T69" s="153"/>
      <c r="U69" s="153"/>
      <c r="V69" s="156"/>
      <c r="W69" s="131"/>
      <c r="X69" s="131"/>
      <c r="Y69" s="131"/>
      <c r="Z69" s="131"/>
      <c r="AA69" s="131"/>
      <c r="AB69" s="131"/>
      <c r="AC69" s="131"/>
      <c r="AD69" s="131"/>
      <c r="AE69" s="131"/>
      <c r="AF69" s="131"/>
      <c r="AG69" s="131"/>
      <c r="AH69" s="131"/>
      <c r="AI69" s="131"/>
      <c r="AJ69" s="131"/>
      <c r="AK69" s="131"/>
      <c r="AL69" s="131"/>
      <c r="AM69" s="131"/>
      <c r="AN69" s="131"/>
      <c r="AO69" s="131"/>
    </row>
    <row r="70" spans="1:41" ht="12.75" customHeight="1" x14ac:dyDescent="0.25">
      <c r="A70" s="133"/>
      <c r="B70" s="133"/>
      <c r="C70" s="151"/>
      <c r="D70" s="152"/>
      <c r="E70" s="152"/>
      <c r="F70" s="152"/>
      <c r="G70" s="152"/>
      <c r="H70" s="152"/>
      <c r="I70" s="152"/>
      <c r="J70" s="131"/>
      <c r="K70" s="152"/>
      <c r="L70" s="152"/>
      <c r="M70" s="152"/>
      <c r="N70" s="153"/>
      <c r="O70" s="153"/>
      <c r="P70" s="153"/>
      <c r="Q70" s="153"/>
      <c r="R70" s="153"/>
      <c r="S70" s="153"/>
      <c r="T70" s="153"/>
      <c r="U70" s="153"/>
      <c r="V70" s="156"/>
      <c r="W70" s="131"/>
      <c r="X70" s="131"/>
      <c r="Y70" s="131"/>
      <c r="Z70" s="131"/>
      <c r="AA70" s="131"/>
      <c r="AB70" s="131"/>
      <c r="AC70" s="131"/>
      <c r="AD70" s="131"/>
      <c r="AE70" s="131"/>
      <c r="AF70" s="131"/>
      <c r="AG70" s="131"/>
      <c r="AH70" s="131"/>
      <c r="AI70" s="131"/>
      <c r="AJ70" s="131"/>
      <c r="AK70" s="131"/>
      <c r="AL70" s="131"/>
      <c r="AM70" s="131"/>
      <c r="AN70" s="131"/>
      <c r="AO70" s="131"/>
    </row>
    <row r="71" spans="1:41" ht="12.75" customHeight="1" x14ac:dyDescent="0.25">
      <c r="A71" s="133"/>
      <c r="B71" s="133"/>
      <c r="C71" s="151"/>
      <c r="D71" s="152"/>
      <c r="E71" s="152"/>
      <c r="F71" s="152"/>
      <c r="G71" s="152"/>
      <c r="H71" s="152"/>
      <c r="I71" s="152"/>
      <c r="J71" s="131"/>
      <c r="K71" s="152"/>
      <c r="L71" s="152"/>
      <c r="M71" s="152"/>
      <c r="N71" s="153"/>
      <c r="O71" s="153"/>
      <c r="P71" s="153"/>
      <c r="Q71" s="153"/>
      <c r="R71" s="153"/>
      <c r="S71" s="153"/>
      <c r="T71" s="153"/>
      <c r="U71" s="153"/>
      <c r="V71" s="156"/>
      <c r="W71" s="131"/>
      <c r="X71" s="131"/>
      <c r="Y71" s="131"/>
      <c r="Z71" s="131"/>
      <c r="AA71" s="131"/>
      <c r="AB71" s="131"/>
      <c r="AC71" s="131"/>
      <c r="AD71" s="131"/>
      <c r="AE71" s="131"/>
      <c r="AF71" s="131"/>
      <c r="AG71" s="131"/>
      <c r="AH71" s="131"/>
      <c r="AI71" s="131"/>
      <c r="AJ71" s="131"/>
      <c r="AK71" s="131"/>
      <c r="AL71" s="131"/>
      <c r="AM71" s="131"/>
      <c r="AN71" s="131"/>
      <c r="AO71" s="131"/>
    </row>
    <row r="72" spans="1:41" ht="12.75" customHeight="1" x14ac:dyDescent="0.25">
      <c r="A72" s="133"/>
      <c r="B72" s="133"/>
      <c r="C72" s="151"/>
      <c r="D72" s="152"/>
      <c r="E72" s="152"/>
      <c r="F72" s="152"/>
      <c r="G72" s="152"/>
      <c r="H72" s="152"/>
      <c r="I72" s="152"/>
      <c r="J72" s="131"/>
      <c r="K72" s="152"/>
      <c r="L72" s="152"/>
      <c r="M72" s="152"/>
      <c r="N72" s="153"/>
      <c r="O72" s="153"/>
      <c r="P72" s="153"/>
      <c r="Q72" s="153"/>
      <c r="R72" s="153"/>
      <c r="S72" s="153"/>
      <c r="T72" s="153"/>
      <c r="U72" s="153"/>
      <c r="V72" s="156"/>
      <c r="W72" s="131"/>
      <c r="X72" s="131"/>
      <c r="Y72" s="131"/>
      <c r="Z72" s="131"/>
      <c r="AA72" s="131"/>
      <c r="AB72" s="131"/>
      <c r="AC72" s="131"/>
      <c r="AD72" s="131"/>
      <c r="AE72" s="131"/>
      <c r="AF72" s="131"/>
      <c r="AG72" s="131"/>
      <c r="AH72" s="131"/>
      <c r="AI72" s="131"/>
      <c r="AJ72" s="131"/>
      <c r="AK72" s="131"/>
      <c r="AL72" s="131"/>
      <c r="AM72" s="131"/>
      <c r="AN72" s="131"/>
      <c r="AO72" s="131"/>
    </row>
    <row r="73" spans="1:41" ht="12.75" customHeight="1" x14ac:dyDescent="0.25">
      <c r="A73" s="133"/>
      <c r="B73" s="133"/>
      <c r="C73" s="151"/>
      <c r="D73" s="152"/>
      <c r="E73" s="152"/>
      <c r="F73" s="152"/>
      <c r="G73" s="152"/>
      <c r="H73" s="152"/>
      <c r="I73" s="152"/>
      <c r="J73" s="131"/>
      <c r="K73" s="152"/>
      <c r="L73" s="152"/>
      <c r="M73" s="152"/>
      <c r="N73" s="153"/>
      <c r="O73" s="153"/>
      <c r="P73" s="153"/>
      <c r="Q73" s="153"/>
      <c r="R73" s="153"/>
      <c r="S73" s="153"/>
      <c r="T73" s="153"/>
      <c r="U73" s="153"/>
      <c r="V73" s="156"/>
      <c r="W73" s="131"/>
      <c r="X73" s="131"/>
      <c r="Y73" s="131"/>
      <c r="Z73" s="131"/>
      <c r="AA73" s="131"/>
      <c r="AB73" s="131"/>
      <c r="AC73" s="131"/>
      <c r="AD73" s="131"/>
      <c r="AE73" s="131"/>
      <c r="AF73" s="131"/>
      <c r="AG73" s="131"/>
      <c r="AH73" s="131"/>
      <c r="AI73" s="131"/>
      <c r="AJ73" s="131"/>
      <c r="AK73" s="131"/>
      <c r="AL73" s="131"/>
      <c r="AM73" s="131"/>
      <c r="AN73" s="131"/>
      <c r="AO73" s="131"/>
    </row>
    <row r="74" spans="1:41" ht="12.75" customHeight="1" x14ac:dyDescent="0.25">
      <c r="A74" s="133"/>
      <c r="B74" s="133"/>
      <c r="C74" s="151"/>
      <c r="D74" s="152"/>
      <c r="E74" s="152"/>
      <c r="F74" s="152"/>
      <c r="G74" s="152"/>
      <c r="H74" s="152"/>
      <c r="I74" s="152"/>
      <c r="J74" s="131"/>
      <c r="K74" s="152"/>
      <c r="L74" s="152"/>
      <c r="M74" s="152"/>
      <c r="N74" s="153"/>
      <c r="O74" s="153"/>
      <c r="P74" s="153"/>
      <c r="Q74" s="153"/>
      <c r="R74" s="153"/>
      <c r="S74" s="153"/>
      <c r="T74" s="153"/>
      <c r="U74" s="153"/>
      <c r="V74" s="156"/>
      <c r="W74" s="131"/>
      <c r="X74" s="131"/>
      <c r="Y74" s="131"/>
      <c r="Z74" s="131"/>
      <c r="AA74" s="131"/>
      <c r="AB74" s="131"/>
      <c r="AC74" s="131"/>
      <c r="AD74" s="131"/>
      <c r="AE74" s="131"/>
      <c r="AF74" s="131"/>
      <c r="AG74" s="131"/>
      <c r="AH74" s="131"/>
      <c r="AI74" s="131"/>
      <c r="AJ74" s="131"/>
      <c r="AK74" s="131"/>
      <c r="AL74" s="131"/>
      <c r="AM74" s="131"/>
      <c r="AN74" s="131"/>
      <c r="AO74" s="131"/>
    </row>
    <row r="75" spans="1:41" ht="12.75" customHeight="1" x14ac:dyDescent="0.25">
      <c r="A75" s="133"/>
      <c r="B75" s="133"/>
      <c r="C75" s="151"/>
      <c r="D75" s="152"/>
      <c r="E75" s="152"/>
      <c r="F75" s="152"/>
      <c r="G75" s="152"/>
      <c r="H75" s="152"/>
      <c r="I75" s="152"/>
      <c r="J75" s="131"/>
      <c r="K75" s="152"/>
      <c r="L75" s="152"/>
      <c r="M75" s="152"/>
      <c r="N75" s="153"/>
      <c r="O75" s="153"/>
      <c r="P75" s="153"/>
      <c r="Q75" s="153"/>
      <c r="R75" s="153"/>
      <c r="S75" s="153"/>
      <c r="T75" s="153"/>
      <c r="U75" s="153"/>
      <c r="V75" s="156"/>
      <c r="W75" s="131"/>
      <c r="X75" s="131"/>
      <c r="Y75" s="131"/>
      <c r="Z75" s="131"/>
      <c r="AA75" s="131"/>
      <c r="AB75" s="131"/>
      <c r="AC75" s="131"/>
      <c r="AD75" s="131"/>
      <c r="AE75" s="131"/>
      <c r="AF75" s="131"/>
      <c r="AG75" s="131"/>
      <c r="AH75" s="131"/>
      <c r="AI75" s="131"/>
      <c r="AJ75" s="131"/>
      <c r="AK75" s="131"/>
      <c r="AL75" s="131"/>
      <c r="AM75" s="131"/>
      <c r="AN75" s="131"/>
      <c r="AO75" s="131"/>
    </row>
    <row r="76" spans="1:41" ht="12.75" customHeight="1" x14ac:dyDescent="0.25">
      <c r="A76" s="133"/>
      <c r="B76" s="133"/>
      <c r="C76" s="151"/>
      <c r="D76" s="152"/>
      <c r="E76" s="152"/>
      <c r="F76" s="152"/>
      <c r="G76" s="152"/>
      <c r="H76" s="152"/>
      <c r="I76" s="152"/>
      <c r="J76" s="131"/>
      <c r="K76" s="152"/>
      <c r="L76" s="152"/>
      <c r="M76" s="152"/>
      <c r="N76" s="153"/>
      <c r="O76" s="153"/>
      <c r="P76" s="153"/>
      <c r="Q76" s="153"/>
      <c r="R76" s="153"/>
      <c r="S76" s="153"/>
      <c r="T76" s="153"/>
      <c r="U76" s="153"/>
      <c r="V76" s="156"/>
      <c r="W76" s="131"/>
      <c r="X76" s="131"/>
      <c r="Y76" s="131"/>
      <c r="Z76" s="131"/>
      <c r="AA76" s="131"/>
      <c r="AB76" s="131"/>
      <c r="AC76" s="131"/>
      <c r="AD76" s="131"/>
      <c r="AE76" s="131"/>
      <c r="AF76" s="131"/>
      <c r="AG76" s="131"/>
      <c r="AH76" s="131"/>
      <c r="AI76" s="131"/>
      <c r="AJ76" s="131"/>
      <c r="AK76" s="131"/>
      <c r="AL76" s="131"/>
      <c r="AM76" s="131"/>
      <c r="AN76" s="131"/>
      <c r="AO76" s="131"/>
    </row>
    <row r="77" spans="1:41" ht="12.75" customHeight="1" x14ac:dyDescent="0.25">
      <c r="A77" s="133"/>
      <c r="B77" s="133"/>
      <c r="C77" s="151"/>
      <c r="D77" s="152"/>
      <c r="E77" s="152"/>
      <c r="F77" s="152"/>
      <c r="G77" s="152"/>
      <c r="H77" s="152"/>
      <c r="I77" s="152"/>
      <c r="J77" s="131"/>
      <c r="K77" s="152"/>
      <c r="L77" s="152"/>
      <c r="M77" s="152"/>
      <c r="N77" s="153"/>
      <c r="O77" s="153"/>
      <c r="P77" s="153"/>
      <c r="Q77" s="153"/>
      <c r="R77" s="153"/>
      <c r="S77" s="153"/>
      <c r="T77" s="153"/>
      <c r="U77" s="153"/>
      <c r="V77" s="156"/>
      <c r="W77" s="131"/>
      <c r="X77" s="131"/>
      <c r="Y77" s="131"/>
      <c r="Z77" s="131"/>
      <c r="AA77" s="131"/>
      <c r="AB77" s="131"/>
      <c r="AC77" s="131"/>
      <c r="AD77" s="131"/>
      <c r="AE77" s="131"/>
      <c r="AF77" s="131"/>
      <c r="AG77" s="131"/>
      <c r="AH77" s="131"/>
      <c r="AI77" s="131"/>
      <c r="AJ77" s="131"/>
      <c r="AK77" s="131"/>
      <c r="AL77" s="131"/>
      <c r="AM77" s="131"/>
      <c r="AN77" s="131"/>
      <c r="AO77" s="131"/>
    </row>
    <row r="78" spans="1:41" ht="12.75" customHeight="1" x14ac:dyDescent="0.25">
      <c r="A78" s="133"/>
      <c r="B78" s="133"/>
      <c r="C78" s="151"/>
      <c r="D78" s="152"/>
      <c r="E78" s="152"/>
      <c r="F78" s="152"/>
      <c r="G78" s="152"/>
      <c r="H78" s="152"/>
      <c r="I78" s="152"/>
      <c r="J78" s="131"/>
      <c r="K78" s="152"/>
      <c r="L78" s="152"/>
      <c r="M78" s="152"/>
      <c r="N78" s="153"/>
      <c r="O78" s="153"/>
      <c r="P78" s="153"/>
      <c r="Q78" s="153"/>
      <c r="R78" s="153"/>
      <c r="S78" s="153"/>
      <c r="T78" s="153"/>
      <c r="U78" s="153"/>
      <c r="V78" s="156"/>
      <c r="W78" s="131"/>
      <c r="X78" s="131"/>
      <c r="Y78" s="131"/>
      <c r="Z78" s="131"/>
      <c r="AA78" s="131"/>
      <c r="AB78" s="131"/>
      <c r="AC78" s="131"/>
      <c r="AD78" s="131"/>
      <c r="AE78" s="131"/>
      <c r="AF78" s="131"/>
      <c r="AG78" s="131"/>
      <c r="AH78" s="131"/>
      <c r="AI78" s="131"/>
      <c r="AJ78" s="131"/>
      <c r="AK78" s="131"/>
      <c r="AL78" s="131"/>
      <c r="AM78" s="131"/>
      <c r="AN78" s="131"/>
      <c r="AO78" s="131"/>
    </row>
    <row r="79" spans="1:41" ht="12.75" customHeight="1" x14ac:dyDescent="0.25">
      <c r="A79" s="133"/>
      <c r="B79" s="133"/>
      <c r="C79" s="151"/>
      <c r="D79" s="152"/>
      <c r="E79" s="152"/>
      <c r="F79" s="152"/>
      <c r="G79" s="152"/>
      <c r="H79" s="152"/>
      <c r="I79" s="152"/>
      <c r="J79" s="131"/>
      <c r="K79" s="152"/>
      <c r="L79" s="152"/>
      <c r="M79" s="152"/>
      <c r="N79" s="153"/>
      <c r="O79" s="153"/>
      <c r="P79" s="153"/>
      <c r="Q79" s="153"/>
      <c r="R79" s="153"/>
      <c r="S79" s="153"/>
      <c r="T79" s="153"/>
      <c r="U79" s="153"/>
      <c r="V79" s="156"/>
      <c r="W79" s="131"/>
      <c r="X79" s="131"/>
      <c r="Y79" s="131"/>
      <c r="Z79" s="131"/>
      <c r="AA79" s="131"/>
      <c r="AB79" s="131"/>
      <c r="AC79" s="131"/>
      <c r="AD79" s="131"/>
      <c r="AE79" s="131"/>
      <c r="AF79" s="131"/>
      <c r="AG79" s="131"/>
      <c r="AH79" s="131"/>
      <c r="AI79" s="131"/>
      <c r="AJ79" s="131"/>
      <c r="AK79" s="131"/>
      <c r="AL79" s="131"/>
      <c r="AM79" s="131"/>
      <c r="AN79" s="131"/>
      <c r="AO79" s="131"/>
    </row>
    <row r="80" spans="1:41" ht="12.75" customHeight="1" x14ac:dyDescent="0.25">
      <c r="A80" s="133"/>
      <c r="B80" s="133"/>
      <c r="C80" s="151"/>
      <c r="D80" s="152"/>
      <c r="E80" s="152"/>
      <c r="F80" s="152"/>
      <c r="G80" s="152"/>
      <c r="H80" s="152"/>
      <c r="I80" s="152"/>
      <c r="J80" s="131"/>
      <c r="K80" s="152"/>
      <c r="L80" s="152"/>
      <c r="M80" s="152"/>
      <c r="N80" s="153"/>
      <c r="O80" s="153"/>
      <c r="P80" s="153"/>
      <c r="Q80" s="153"/>
      <c r="R80" s="153"/>
      <c r="S80" s="153"/>
      <c r="T80" s="153"/>
      <c r="U80" s="153"/>
      <c r="V80" s="156"/>
      <c r="W80" s="131"/>
      <c r="X80" s="131"/>
      <c r="Y80" s="131"/>
      <c r="Z80" s="131"/>
      <c r="AA80" s="131"/>
      <c r="AB80" s="131"/>
      <c r="AC80" s="131"/>
      <c r="AD80" s="131"/>
      <c r="AE80" s="131"/>
      <c r="AF80" s="131"/>
      <c r="AG80" s="131"/>
      <c r="AH80" s="131"/>
      <c r="AI80" s="131"/>
      <c r="AJ80" s="131"/>
      <c r="AK80" s="131"/>
      <c r="AL80" s="131"/>
      <c r="AM80" s="131"/>
      <c r="AN80" s="131"/>
      <c r="AO80" s="131"/>
    </row>
    <row r="81" spans="1:41" ht="12.75" customHeight="1" x14ac:dyDescent="0.25">
      <c r="A81" s="133"/>
      <c r="B81" s="133"/>
      <c r="C81" s="151"/>
      <c r="D81" s="152"/>
      <c r="E81" s="152"/>
      <c r="F81" s="152"/>
      <c r="G81" s="152"/>
      <c r="H81" s="152"/>
      <c r="I81" s="152"/>
      <c r="J81" s="131"/>
      <c r="K81" s="152"/>
      <c r="L81" s="152"/>
      <c r="M81" s="152"/>
      <c r="N81" s="153"/>
      <c r="O81" s="153"/>
      <c r="P81" s="153"/>
      <c r="Q81" s="153"/>
      <c r="R81" s="153"/>
      <c r="S81" s="153"/>
      <c r="T81" s="153"/>
      <c r="U81" s="153"/>
      <c r="V81" s="156"/>
      <c r="W81" s="131"/>
      <c r="X81" s="131"/>
      <c r="Y81" s="131"/>
      <c r="Z81" s="131"/>
      <c r="AA81" s="131"/>
      <c r="AB81" s="131"/>
      <c r="AC81" s="131"/>
      <c r="AD81" s="131"/>
      <c r="AE81" s="131"/>
      <c r="AF81" s="131"/>
      <c r="AG81" s="131"/>
      <c r="AH81" s="131"/>
      <c r="AI81" s="131"/>
      <c r="AJ81" s="131"/>
      <c r="AK81" s="131"/>
      <c r="AL81" s="131"/>
      <c r="AM81" s="131"/>
      <c r="AN81" s="131"/>
      <c r="AO81" s="131"/>
    </row>
    <row r="82" spans="1:41" ht="12.75" customHeight="1" x14ac:dyDescent="0.25">
      <c r="A82" s="133"/>
      <c r="B82" s="133"/>
      <c r="C82" s="151"/>
      <c r="D82" s="152"/>
      <c r="E82" s="152"/>
      <c r="F82" s="152"/>
      <c r="G82" s="152"/>
      <c r="H82" s="152"/>
      <c r="I82" s="152"/>
      <c r="J82" s="131"/>
      <c r="K82" s="152"/>
      <c r="L82" s="152"/>
      <c r="M82" s="152"/>
      <c r="N82" s="153"/>
      <c r="O82" s="153"/>
      <c r="P82" s="153"/>
      <c r="Q82" s="153"/>
      <c r="R82" s="153"/>
      <c r="S82" s="153"/>
      <c r="T82" s="153"/>
      <c r="U82" s="153"/>
      <c r="V82" s="156"/>
      <c r="W82" s="131"/>
      <c r="X82" s="131"/>
      <c r="Y82" s="131"/>
      <c r="Z82" s="131"/>
      <c r="AA82" s="131"/>
      <c r="AB82" s="131"/>
      <c r="AC82" s="131"/>
      <c r="AD82" s="131"/>
      <c r="AE82" s="131"/>
      <c r="AF82" s="131"/>
      <c r="AG82" s="131"/>
      <c r="AH82" s="131"/>
      <c r="AI82" s="131"/>
      <c r="AJ82" s="131"/>
      <c r="AK82" s="131"/>
      <c r="AL82" s="131"/>
      <c r="AM82" s="131"/>
      <c r="AN82" s="131"/>
      <c r="AO82" s="131"/>
    </row>
    <row r="83" spans="1:41" ht="12.75" customHeight="1" x14ac:dyDescent="0.25">
      <c r="A83" s="133"/>
      <c r="B83" s="133"/>
      <c r="C83" s="151"/>
      <c r="D83" s="152"/>
      <c r="E83" s="152"/>
      <c r="F83" s="152"/>
      <c r="G83" s="152"/>
      <c r="H83" s="152"/>
      <c r="I83" s="152"/>
      <c r="J83" s="131"/>
      <c r="K83" s="152"/>
      <c r="L83" s="152"/>
      <c r="M83" s="152"/>
      <c r="N83" s="153"/>
      <c r="O83" s="153"/>
      <c r="P83" s="153"/>
      <c r="Q83" s="153"/>
      <c r="R83" s="153"/>
      <c r="S83" s="153"/>
      <c r="T83" s="153"/>
      <c r="U83" s="153"/>
      <c r="V83" s="156"/>
      <c r="W83" s="131"/>
      <c r="X83" s="131"/>
      <c r="Y83" s="131"/>
      <c r="Z83" s="131"/>
      <c r="AA83" s="131"/>
      <c r="AB83" s="131"/>
      <c r="AC83" s="131"/>
      <c r="AD83" s="131"/>
      <c r="AE83" s="131"/>
      <c r="AF83" s="131"/>
      <c r="AG83" s="131"/>
      <c r="AH83" s="131"/>
      <c r="AI83" s="131"/>
      <c r="AJ83" s="131"/>
      <c r="AK83" s="131"/>
      <c r="AL83" s="131"/>
      <c r="AM83" s="131"/>
      <c r="AN83" s="131"/>
      <c r="AO83" s="131"/>
    </row>
    <row r="84" spans="1:41" ht="12.75" customHeight="1" x14ac:dyDescent="0.25">
      <c r="A84" s="133"/>
      <c r="B84" s="133"/>
      <c r="C84" s="151"/>
      <c r="D84" s="152"/>
      <c r="E84" s="152"/>
      <c r="F84" s="152"/>
      <c r="G84" s="152"/>
      <c r="H84" s="152"/>
      <c r="I84" s="152"/>
      <c r="J84" s="131"/>
      <c r="K84" s="152"/>
      <c r="L84" s="152"/>
      <c r="M84" s="152"/>
      <c r="N84" s="153"/>
      <c r="O84" s="153"/>
      <c r="P84" s="153"/>
      <c r="Q84" s="153"/>
      <c r="R84" s="153"/>
      <c r="S84" s="153"/>
      <c r="T84" s="153"/>
      <c r="U84" s="153"/>
      <c r="V84" s="156"/>
      <c r="W84" s="131"/>
      <c r="X84" s="131"/>
      <c r="Y84" s="131"/>
      <c r="Z84" s="131"/>
      <c r="AA84" s="131"/>
      <c r="AB84" s="131"/>
      <c r="AC84" s="131"/>
      <c r="AD84" s="131"/>
      <c r="AE84" s="131"/>
      <c r="AF84" s="131"/>
      <c r="AG84" s="131"/>
      <c r="AH84" s="131"/>
      <c r="AI84" s="131"/>
      <c r="AJ84" s="131"/>
      <c r="AK84" s="131"/>
      <c r="AL84" s="131"/>
      <c r="AM84" s="131"/>
      <c r="AN84" s="131"/>
      <c r="AO84" s="131"/>
    </row>
    <row r="85" spans="1:41" ht="12.75" customHeight="1" x14ac:dyDescent="0.25">
      <c r="A85" s="133"/>
      <c r="B85" s="133"/>
      <c r="C85" s="151"/>
      <c r="D85" s="152"/>
      <c r="E85" s="152"/>
      <c r="F85" s="152"/>
      <c r="G85" s="152"/>
      <c r="H85" s="152"/>
      <c r="I85" s="152"/>
      <c r="J85" s="131"/>
      <c r="K85" s="152"/>
      <c r="L85" s="152"/>
      <c r="M85" s="152"/>
      <c r="N85" s="153"/>
      <c r="O85" s="153"/>
      <c r="P85" s="153"/>
      <c r="Q85" s="153"/>
      <c r="R85" s="153"/>
      <c r="S85" s="153"/>
      <c r="T85" s="153"/>
      <c r="U85" s="153"/>
      <c r="V85" s="156"/>
      <c r="W85" s="131"/>
      <c r="X85" s="131"/>
      <c r="Y85" s="131"/>
      <c r="Z85" s="131"/>
      <c r="AA85" s="131"/>
      <c r="AB85" s="131"/>
      <c r="AC85" s="131"/>
      <c r="AD85" s="131"/>
      <c r="AE85" s="131"/>
      <c r="AF85" s="131"/>
      <c r="AG85" s="131"/>
      <c r="AH85" s="131"/>
      <c r="AI85" s="131"/>
      <c r="AJ85" s="131"/>
      <c r="AK85" s="131"/>
      <c r="AL85" s="131"/>
      <c r="AM85" s="131"/>
      <c r="AN85" s="131"/>
      <c r="AO85" s="131"/>
    </row>
    <row r="86" spans="1:41" ht="12.75" customHeight="1" x14ac:dyDescent="0.25">
      <c r="A86" s="133"/>
      <c r="B86" s="133"/>
      <c r="C86" s="151"/>
      <c r="D86" s="152"/>
      <c r="E86" s="152"/>
      <c r="F86" s="152"/>
      <c r="G86" s="152"/>
      <c r="H86" s="152"/>
      <c r="I86" s="152"/>
      <c r="J86" s="131"/>
      <c r="K86" s="152"/>
      <c r="L86" s="152"/>
      <c r="M86" s="152"/>
      <c r="N86" s="153"/>
      <c r="O86" s="153"/>
      <c r="P86" s="153"/>
      <c r="Q86" s="153"/>
      <c r="R86" s="153"/>
      <c r="S86" s="153"/>
      <c r="T86" s="153"/>
      <c r="U86" s="153"/>
      <c r="V86" s="156"/>
      <c r="W86" s="131"/>
      <c r="X86" s="131"/>
      <c r="Y86" s="131"/>
      <c r="Z86" s="131"/>
      <c r="AA86" s="131"/>
      <c r="AB86" s="131"/>
      <c r="AC86" s="131"/>
      <c r="AD86" s="131"/>
      <c r="AE86" s="131"/>
      <c r="AF86" s="131"/>
      <c r="AG86" s="131"/>
      <c r="AH86" s="131"/>
      <c r="AI86" s="131"/>
      <c r="AJ86" s="131"/>
      <c r="AK86" s="131"/>
      <c r="AL86" s="131"/>
      <c r="AM86" s="131"/>
      <c r="AN86" s="131"/>
      <c r="AO86" s="131"/>
    </row>
    <row r="87" spans="1:41" ht="12.75" customHeight="1" x14ac:dyDescent="0.25">
      <c r="A87" s="133"/>
      <c r="B87" s="133"/>
      <c r="C87" s="151"/>
      <c r="D87" s="152"/>
      <c r="E87" s="152"/>
      <c r="F87" s="152"/>
      <c r="G87" s="152"/>
      <c r="H87" s="152"/>
      <c r="I87" s="152"/>
      <c r="J87" s="131"/>
      <c r="K87" s="152"/>
      <c r="L87" s="152"/>
      <c r="M87" s="152"/>
      <c r="N87" s="153"/>
      <c r="O87" s="153"/>
      <c r="P87" s="153"/>
      <c r="Q87" s="153"/>
      <c r="R87" s="153"/>
      <c r="S87" s="153"/>
      <c r="T87" s="153"/>
      <c r="U87" s="153"/>
      <c r="V87" s="156"/>
      <c r="W87" s="131"/>
      <c r="X87" s="131"/>
      <c r="Y87" s="131"/>
      <c r="Z87" s="131"/>
      <c r="AA87" s="131"/>
      <c r="AB87" s="131"/>
      <c r="AC87" s="131"/>
      <c r="AD87" s="131"/>
      <c r="AE87" s="131"/>
      <c r="AF87" s="131"/>
      <c r="AG87" s="131"/>
      <c r="AH87" s="131"/>
      <c r="AI87" s="131"/>
      <c r="AJ87" s="131"/>
      <c r="AK87" s="131"/>
      <c r="AL87" s="131"/>
      <c r="AM87" s="131"/>
      <c r="AN87" s="131"/>
      <c r="AO87" s="131"/>
    </row>
    <row r="88" spans="1:41" ht="12.75" customHeight="1" x14ac:dyDescent="0.25">
      <c r="A88" s="133"/>
      <c r="B88" s="133"/>
      <c r="C88" s="151"/>
      <c r="D88" s="152"/>
      <c r="E88" s="152"/>
      <c r="F88" s="152"/>
      <c r="G88" s="152"/>
      <c r="H88" s="152"/>
      <c r="I88" s="152"/>
      <c r="J88" s="131"/>
      <c r="K88" s="152"/>
      <c r="L88" s="152"/>
      <c r="M88" s="152"/>
      <c r="N88" s="153"/>
      <c r="O88" s="153"/>
      <c r="P88" s="153"/>
      <c r="Q88" s="153"/>
      <c r="R88" s="153"/>
      <c r="S88" s="153"/>
      <c r="T88" s="153"/>
      <c r="U88" s="153"/>
      <c r="V88" s="156"/>
      <c r="W88" s="131"/>
      <c r="X88" s="131"/>
      <c r="Y88" s="131"/>
      <c r="Z88" s="131"/>
      <c r="AA88" s="131"/>
      <c r="AB88" s="131"/>
      <c r="AC88" s="131"/>
      <c r="AD88" s="131"/>
      <c r="AE88" s="131"/>
      <c r="AF88" s="131"/>
      <c r="AG88" s="131"/>
      <c r="AH88" s="131"/>
      <c r="AI88" s="131"/>
      <c r="AJ88" s="131"/>
      <c r="AK88" s="131"/>
      <c r="AL88" s="131"/>
      <c r="AM88" s="131"/>
      <c r="AN88" s="131"/>
      <c r="AO88" s="131"/>
    </row>
    <row r="89" spans="1:41" ht="12.75" customHeight="1" x14ac:dyDescent="0.25">
      <c r="A89" s="133"/>
      <c r="B89" s="133"/>
      <c r="C89" s="151"/>
      <c r="D89" s="152"/>
      <c r="E89" s="152"/>
      <c r="F89" s="152"/>
      <c r="G89" s="152"/>
      <c r="H89" s="152"/>
      <c r="I89" s="152"/>
      <c r="J89" s="131"/>
      <c r="K89" s="152"/>
      <c r="L89" s="152"/>
      <c r="M89" s="152"/>
      <c r="N89" s="153"/>
      <c r="O89" s="153"/>
      <c r="P89" s="153"/>
      <c r="Q89" s="153"/>
      <c r="R89" s="153"/>
      <c r="S89" s="153"/>
      <c r="T89" s="153"/>
      <c r="U89" s="153"/>
      <c r="V89" s="156"/>
      <c r="W89" s="131"/>
      <c r="X89" s="131"/>
      <c r="Y89" s="131"/>
      <c r="Z89" s="131"/>
      <c r="AA89" s="131"/>
      <c r="AB89" s="131"/>
      <c r="AC89" s="131"/>
      <c r="AD89" s="131"/>
      <c r="AE89" s="131"/>
      <c r="AF89" s="131"/>
      <c r="AG89" s="131"/>
      <c r="AH89" s="131"/>
      <c r="AI89" s="131"/>
      <c r="AJ89" s="131"/>
      <c r="AK89" s="131"/>
      <c r="AL89" s="131"/>
      <c r="AM89" s="131"/>
      <c r="AN89" s="131"/>
      <c r="AO89" s="131"/>
    </row>
    <row r="90" spans="1:41" ht="12.75" customHeight="1" x14ac:dyDescent="0.25">
      <c r="A90" s="133"/>
      <c r="B90" s="133"/>
      <c r="C90" s="151"/>
      <c r="D90" s="152"/>
      <c r="E90" s="152"/>
      <c r="F90" s="152"/>
      <c r="G90" s="152"/>
      <c r="H90" s="152"/>
      <c r="I90" s="152"/>
      <c r="J90" s="131"/>
      <c r="K90" s="152"/>
      <c r="L90" s="152"/>
      <c r="M90" s="152"/>
      <c r="N90" s="153"/>
      <c r="O90" s="153"/>
      <c r="P90" s="153"/>
      <c r="Q90" s="153"/>
      <c r="R90" s="153"/>
      <c r="S90" s="153"/>
      <c r="T90" s="153"/>
      <c r="U90" s="153"/>
      <c r="V90" s="156"/>
      <c r="W90" s="131"/>
      <c r="X90" s="131"/>
      <c r="Y90" s="131"/>
      <c r="Z90" s="131"/>
      <c r="AA90" s="131"/>
      <c r="AB90" s="131"/>
      <c r="AC90" s="131"/>
      <c r="AD90" s="131"/>
      <c r="AE90" s="131"/>
      <c r="AF90" s="131"/>
      <c r="AG90" s="131"/>
      <c r="AH90" s="131"/>
      <c r="AI90" s="131"/>
      <c r="AJ90" s="131"/>
      <c r="AK90" s="131"/>
      <c r="AL90" s="131"/>
      <c r="AM90" s="131"/>
      <c r="AN90" s="131"/>
      <c r="AO90" s="131"/>
    </row>
    <row r="91" spans="1:41" ht="12.75" customHeight="1" x14ac:dyDescent="0.25">
      <c r="A91" s="133"/>
      <c r="B91" s="133"/>
      <c r="C91" s="151"/>
      <c r="D91" s="152"/>
      <c r="E91" s="152"/>
      <c r="F91" s="152"/>
      <c r="G91" s="152"/>
      <c r="H91" s="152"/>
      <c r="I91" s="152"/>
      <c r="J91" s="131"/>
      <c r="K91" s="152"/>
      <c r="L91" s="152"/>
      <c r="M91" s="152"/>
      <c r="N91" s="153"/>
      <c r="O91" s="153"/>
      <c r="P91" s="153"/>
      <c r="Q91" s="153"/>
      <c r="R91" s="153"/>
      <c r="S91" s="153"/>
      <c r="T91" s="153"/>
      <c r="U91" s="153"/>
      <c r="V91" s="156"/>
      <c r="W91" s="131"/>
      <c r="X91" s="131"/>
      <c r="Y91" s="131"/>
      <c r="Z91" s="131"/>
      <c r="AA91" s="131"/>
      <c r="AB91" s="131"/>
      <c r="AC91" s="131"/>
      <c r="AD91" s="131"/>
      <c r="AE91" s="131"/>
      <c r="AF91" s="131"/>
      <c r="AG91" s="131"/>
      <c r="AH91" s="131"/>
      <c r="AI91" s="131"/>
      <c r="AJ91" s="131"/>
      <c r="AK91" s="131"/>
      <c r="AL91" s="131"/>
      <c r="AM91" s="131"/>
      <c r="AN91" s="131"/>
      <c r="AO91" s="131"/>
    </row>
    <row r="92" spans="1:41" ht="12.75" customHeight="1" x14ac:dyDescent="0.25">
      <c r="A92" s="133"/>
      <c r="B92" s="133"/>
      <c r="C92" s="151"/>
      <c r="D92" s="152"/>
      <c r="E92" s="152"/>
      <c r="F92" s="152"/>
      <c r="G92" s="152"/>
      <c r="H92" s="152"/>
      <c r="I92" s="152"/>
      <c r="J92" s="131"/>
      <c r="K92" s="152"/>
      <c r="L92" s="152"/>
      <c r="M92" s="152"/>
      <c r="N92" s="153"/>
      <c r="O92" s="153"/>
      <c r="P92" s="153"/>
      <c r="Q92" s="153"/>
      <c r="R92" s="153"/>
      <c r="S92" s="153"/>
      <c r="T92" s="153"/>
      <c r="U92" s="153"/>
      <c r="V92" s="156"/>
      <c r="W92" s="131"/>
      <c r="X92" s="131"/>
      <c r="Y92" s="131"/>
      <c r="Z92" s="131"/>
      <c r="AA92" s="131"/>
      <c r="AB92" s="131"/>
      <c r="AC92" s="131"/>
      <c r="AD92" s="131"/>
      <c r="AE92" s="131"/>
      <c r="AF92" s="131"/>
      <c r="AG92" s="131"/>
      <c r="AH92" s="131"/>
      <c r="AI92" s="131"/>
      <c r="AJ92" s="131"/>
      <c r="AK92" s="131"/>
      <c r="AL92" s="131"/>
      <c r="AM92" s="131"/>
      <c r="AN92" s="131"/>
      <c r="AO92" s="131"/>
    </row>
    <row r="93" spans="1:41" ht="12.75" customHeight="1" x14ac:dyDescent="0.25">
      <c r="A93" s="133"/>
      <c r="B93" s="133"/>
      <c r="C93" s="151"/>
      <c r="D93" s="152"/>
      <c r="E93" s="152"/>
      <c r="F93" s="152"/>
      <c r="G93" s="152"/>
      <c r="H93" s="152"/>
      <c r="I93" s="152"/>
      <c r="J93" s="131"/>
      <c r="K93" s="152"/>
      <c r="L93" s="152"/>
      <c r="M93" s="152"/>
      <c r="N93" s="153"/>
      <c r="O93" s="153"/>
      <c r="P93" s="153"/>
      <c r="Q93" s="153"/>
      <c r="R93" s="153"/>
      <c r="S93" s="153"/>
      <c r="T93" s="153"/>
      <c r="U93" s="153"/>
      <c r="V93" s="156"/>
      <c r="W93" s="131"/>
      <c r="X93" s="131"/>
      <c r="Y93" s="131"/>
      <c r="Z93" s="131"/>
      <c r="AA93" s="131"/>
      <c r="AB93" s="131"/>
      <c r="AC93" s="131"/>
      <c r="AD93" s="131"/>
      <c r="AE93" s="131"/>
      <c r="AF93" s="131"/>
      <c r="AG93" s="131"/>
      <c r="AH93" s="131"/>
      <c r="AI93" s="131"/>
      <c r="AJ93" s="131"/>
      <c r="AK93" s="131"/>
      <c r="AL93" s="131"/>
      <c r="AM93" s="131"/>
      <c r="AN93" s="131"/>
      <c r="AO93" s="131"/>
    </row>
    <row r="94" spans="1:41" ht="12.75" customHeight="1" x14ac:dyDescent="0.25">
      <c r="A94" s="133"/>
      <c r="B94" s="133"/>
      <c r="C94" s="151"/>
      <c r="D94" s="152"/>
      <c r="E94" s="152"/>
      <c r="F94" s="152"/>
      <c r="G94" s="152"/>
      <c r="H94" s="152"/>
      <c r="I94" s="152"/>
      <c r="J94" s="131"/>
      <c r="K94" s="152"/>
      <c r="L94" s="152"/>
      <c r="M94" s="152"/>
      <c r="N94" s="153"/>
      <c r="O94" s="153"/>
      <c r="P94" s="153"/>
      <c r="Q94" s="153"/>
      <c r="R94" s="153"/>
      <c r="S94" s="153"/>
      <c r="T94" s="153"/>
      <c r="U94" s="153"/>
      <c r="V94" s="156"/>
      <c r="W94" s="131"/>
      <c r="X94" s="131"/>
      <c r="Y94" s="131"/>
      <c r="Z94" s="131"/>
      <c r="AA94" s="131"/>
      <c r="AB94" s="131"/>
      <c r="AC94" s="131"/>
      <c r="AD94" s="131"/>
      <c r="AE94" s="131"/>
      <c r="AF94" s="131"/>
      <c r="AG94" s="131"/>
      <c r="AH94" s="131"/>
      <c r="AI94" s="131"/>
      <c r="AJ94" s="131"/>
      <c r="AK94" s="131"/>
      <c r="AL94" s="131"/>
      <c r="AM94" s="131"/>
      <c r="AN94" s="131"/>
      <c r="AO94" s="131"/>
    </row>
    <row r="95" spans="1:41" ht="12.75" customHeight="1" x14ac:dyDescent="0.25">
      <c r="A95" s="133"/>
      <c r="B95" s="133"/>
      <c r="C95" s="151"/>
      <c r="D95" s="152"/>
      <c r="E95" s="152"/>
      <c r="F95" s="152"/>
      <c r="G95" s="152"/>
      <c r="H95" s="152"/>
      <c r="I95" s="152"/>
      <c r="J95" s="131"/>
      <c r="K95" s="152"/>
      <c r="L95" s="152"/>
      <c r="M95" s="152"/>
      <c r="N95" s="153"/>
      <c r="O95" s="153"/>
      <c r="P95" s="153"/>
      <c r="Q95" s="153"/>
      <c r="R95" s="153"/>
      <c r="S95" s="153"/>
      <c r="T95" s="153"/>
      <c r="U95" s="153"/>
      <c r="V95" s="156"/>
      <c r="W95" s="131"/>
      <c r="X95" s="131"/>
      <c r="Y95" s="131"/>
      <c r="Z95" s="131"/>
      <c r="AA95" s="131"/>
      <c r="AB95" s="131"/>
      <c r="AC95" s="131"/>
      <c r="AD95" s="131"/>
      <c r="AE95" s="131"/>
      <c r="AF95" s="131"/>
      <c r="AG95" s="131"/>
      <c r="AH95" s="131"/>
      <c r="AI95" s="131"/>
      <c r="AJ95" s="131"/>
      <c r="AK95" s="131"/>
      <c r="AL95" s="131"/>
      <c r="AM95" s="131"/>
      <c r="AN95" s="131"/>
      <c r="AO95" s="131"/>
    </row>
    <row r="96" spans="1:41" ht="12.75" customHeight="1" x14ac:dyDescent="0.25">
      <c r="A96" s="133"/>
      <c r="B96" s="133"/>
      <c r="C96" s="151"/>
      <c r="D96" s="152"/>
      <c r="E96" s="152"/>
      <c r="F96" s="152"/>
      <c r="G96" s="152"/>
      <c r="H96" s="152"/>
      <c r="I96" s="152"/>
      <c r="J96" s="131"/>
      <c r="K96" s="152"/>
      <c r="L96" s="152"/>
      <c r="M96" s="152"/>
      <c r="N96" s="153"/>
      <c r="O96" s="153"/>
      <c r="P96" s="153"/>
      <c r="Q96" s="153"/>
      <c r="R96" s="153"/>
      <c r="S96" s="153"/>
      <c r="T96" s="153"/>
      <c r="U96" s="153"/>
      <c r="V96" s="156"/>
      <c r="W96" s="131"/>
      <c r="X96" s="131"/>
      <c r="Y96" s="131"/>
      <c r="Z96" s="131"/>
      <c r="AA96" s="131"/>
      <c r="AB96" s="131"/>
      <c r="AC96" s="131"/>
      <c r="AD96" s="131"/>
      <c r="AE96" s="131"/>
      <c r="AF96" s="131"/>
      <c r="AG96" s="131"/>
      <c r="AH96" s="131"/>
      <c r="AI96" s="131"/>
      <c r="AJ96" s="131"/>
      <c r="AK96" s="131"/>
      <c r="AL96" s="131"/>
      <c r="AM96" s="131"/>
      <c r="AN96" s="131"/>
      <c r="AO96" s="131"/>
    </row>
    <row r="97" spans="1:41" ht="12.75" customHeight="1" x14ac:dyDescent="0.25">
      <c r="A97" s="133"/>
      <c r="B97" s="133"/>
      <c r="C97" s="151"/>
      <c r="D97" s="152"/>
      <c r="E97" s="152"/>
      <c r="F97" s="152"/>
      <c r="G97" s="152"/>
      <c r="H97" s="152"/>
      <c r="I97" s="152"/>
      <c r="J97" s="131"/>
      <c r="K97" s="152"/>
      <c r="L97" s="152"/>
      <c r="M97" s="152"/>
      <c r="N97" s="153"/>
      <c r="O97" s="153"/>
      <c r="P97" s="153"/>
      <c r="Q97" s="153"/>
      <c r="R97" s="153"/>
      <c r="S97" s="153"/>
      <c r="T97" s="153"/>
      <c r="U97" s="153"/>
      <c r="V97" s="156"/>
      <c r="W97" s="131"/>
      <c r="X97" s="131"/>
      <c r="Y97" s="131"/>
      <c r="Z97" s="131"/>
      <c r="AA97" s="131"/>
      <c r="AB97" s="131"/>
      <c r="AC97" s="131"/>
      <c r="AD97" s="131"/>
      <c r="AE97" s="131"/>
      <c r="AF97" s="131"/>
      <c r="AG97" s="131"/>
      <c r="AH97" s="131"/>
      <c r="AI97" s="131"/>
      <c r="AJ97" s="131"/>
      <c r="AK97" s="131"/>
      <c r="AL97" s="131"/>
      <c r="AM97" s="131"/>
      <c r="AN97" s="131"/>
      <c r="AO97" s="131"/>
    </row>
    <row r="98" spans="1:41" ht="12.75" customHeight="1" x14ac:dyDescent="0.25">
      <c r="A98" s="133"/>
      <c r="B98" s="133"/>
      <c r="C98" s="151"/>
      <c r="D98" s="152"/>
      <c r="E98" s="152"/>
      <c r="F98" s="152"/>
      <c r="G98" s="152"/>
      <c r="H98" s="152"/>
      <c r="I98" s="152"/>
      <c r="J98" s="131"/>
      <c r="K98" s="152"/>
      <c r="L98" s="152"/>
      <c r="M98" s="152"/>
      <c r="N98" s="153"/>
      <c r="O98" s="153"/>
      <c r="P98" s="153"/>
      <c r="Q98" s="153"/>
      <c r="R98" s="153"/>
      <c r="S98" s="153"/>
      <c r="T98" s="153"/>
      <c r="U98" s="153"/>
      <c r="V98" s="156"/>
      <c r="W98" s="131"/>
      <c r="X98" s="131"/>
      <c r="Y98" s="131"/>
      <c r="Z98" s="131"/>
      <c r="AA98" s="131"/>
      <c r="AB98" s="131"/>
      <c r="AC98" s="131"/>
      <c r="AD98" s="131"/>
      <c r="AE98" s="131"/>
      <c r="AF98" s="131"/>
      <c r="AG98" s="131"/>
      <c r="AH98" s="131"/>
      <c r="AI98" s="131"/>
      <c r="AJ98" s="131"/>
      <c r="AK98" s="131"/>
      <c r="AL98" s="131"/>
      <c r="AM98" s="131"/>
      <c r="AN98" s="131"/>
      <c r="AO98" s="131"/>
    </row>
    <row r="99" spans="1:41" ht="12.75" customHeight="1" x14ac:dyDescent="0.25">
      <c r="A99" s="133"/>
      <c r="B99" s="133"/>
      <c r="C99" s="151"/>
      <c r="D99" s="152"/>
      <c r="E99" s="152"/>
      <c r="F99" s="152"/>
      <c r="G99" s="152"/>
      <c r="H99" s="152"/>
      <c r="I99" s="152"/>
      <c r="J99" s="131"/>
      <c r="K99" s="152"/>
      <c r="L99" s="152"/>
      <c r="M99" s="152"/>
      <c r="N99" s="153"/>
      <c r="O99" s="153"/>
      <c r="P99" s="153"/>
      <c r="Q99" s="153"/>
      <c r="R99" s="153"/>
      <c r="S99" s="153"/>
      <c r="T99" s="153"/>
      <c r="U99" s="153"/>
      <c r="V99" s="156"/>
      <c r="W99" s="131"/>
      <c r="X99" s="131"/>
      <c r="Y99" s="131"/>
      <c r="Z99" s="131"/>
      <c r="AA99" s="131"/>
      <c r="AB99" s="131"/>
      <c r="AC99" s="131"/>
      <c r="AD99" s="131"/>
      <c r="AE99" s="131"/>
      <c r="AF99" s="131"/>
      <c r="AG99" s="131"/>
      <c r="AH99" s="131"/>
      <c r="AI99" s="131"/>
      <c r="AJ99" s="131"/>
      <c r="AK99" s="131"/>
      <c r="AL99" s="131"/>
      <c r="AM99" s="131"/>
      <c r="AN99" s="131"/>
      <c r="AO99" s="131"/>
    </row>
    <row r="100" spans="1:41" ht="12.75" customHeight="1" x14ac:dyDescent="0.25">
      <c r="A100" s="133"/>
      <c r="B100" s="133"/>
      <c r="C100" s="151"/>
      <c r="D100" s="152"/>
      <c r="E100" s="152"/>
      <c r="F100" s="152"/>
      <c r="G100" s="152"/>
      <c r="H100" s="152"/>
      <c r="I100" s="152"/>
      <c r="J100" s="131"/>
      <c r="K100" s="152"/>
      <c r="L100" s="152"/>
      <c r="M100" s="152"/>
      <c r="N100" s="153"/>
      <c r="O100" s="153"/>
      <c r="P100" s="153"/>
      <c r="Q100" s="153"/>
      <c r="R100" s="153"/>
      <c r="S100" s="153"/>
      <c r="T100" s="153"/>
      <c r="U100" s="153"/>
      <c r="V100" s="156"/>
      <c r="W100" s="131"/>
      <c r="X100" s="131"/>
      <c r="Y100" s="131"/>
      <c r="Z100" s="131"/>
      <c r="AA100" s="131"/>
      <c r="AB100" s="131"/>
      <c r="AC100" s="131"/>
      <c r="AD100" s="131"/>
      <c r="AE100" s="131"/>
      <c r="AF100" s="131"/>
      <c r="AG100" s="131"/>
      <c r="AH100" s="131"/>
      <c r="AI100" s="131"/>
      <c r="AJ100" s="131"/>
      <c r="AK100" s="131"/>
      <c r="AL100" s="131"/>
      <c r="AM100" s="131"/>
      <c r="AN100" s="131"/>
      <c r="AO100" s="131"/>
    </row>
    <row r="101" spans="1:41" ht="12.75" customHeight="1" x14ac:dyDescent="0.25">
      <c r="A101" s="133"/>
      <c r="B101" s="133"/>
      <c r="C101" s="151"/>
      <c r="D101" s="152"/>
      <c r="E101" s="152"/>
      <c r="F101" s="152"/>
      <c r="G101" s="152"/>
      <c r="H101" s="152"/>
      <c r="I101" s="152"/>
      <c r="J101" s="131"/>
      <c r="K101" s="152"/>
      <c r="L101" s="152"/>
      <c r="M101" s="152"/>
      <c r="N101" s="153"/>
      <c r="O101" s="153"/>
      <c r="P101" s="153"/>
      <c r="Q101" s="153"/>
      <c r="R101" s="153"/>
      <c r="S101" s="153"/>
      <c r="T101" s="153"/>
      <c r="U101" s="153"/>
      <c r="V101" s="156"/>
      <c r="W101" s="131"/>
      <c r="X101" s="131"/>
      <c r="Y101" s="131"/>
      <c r="Z101" s="131"/>
      <c r="AA101" s="131"/>
      <c r="AB101" s="131"/>
      <c r="AC101" s="131"/>
      <c r="AD101" s="131"/>
      <c r="AE101" s="131"/>
      <c r="AF101" s="131"/>
      <c r="AG101" s="131"/>
      <c r="AH101" s="131"/>
      <c r="AI101" s="131"/>
      <c r="AJ101" s="131"/>
      <c r="AK101" s="131"/>
      <c r="AL101" s="131"/>
      <c r="AM101" s="131"/>
      <c r="AN101" s="131"/>
      <c r="AO101" s="131"/>
    </row>
    <row r="102" spans="1:41" ht="12.75" customHeight="1" x14ac:dyDescent="0.25">
      <c r="A102" s="133"/>
      <c r="B102" s="133"/>
      <c r="C102" s="151"/>
      <c r="D102" s="152"/>
      <c r="E102" s="152"/>
      <c r="F102" s="152"/>
      <c r="G102" s="152"/>
      <c r="H102" s="152"/>
      <c r="I102" s="152"/>
      <c r="J102" s="131"/>
      <c r="K102" s="152"/>
      <c r="L102" s="152"/>
      <c r="M102" s="152"/>
      <c r="N102" s="153"/>
      <c r="O102" s="153"/>
      <c r="P102" s="153"/>
      <c r="Q102" s="153"/>
      <c r="R102" s="153"/>
      <c r="S102" s="153"/>
      <c r="T102" s="153"/>
      <c r="U102" s="153"/>
      <c r="V102" s="156"/>
      <c r="W102" s="131"/>
      <c r="X102" s="131"/>
      <c r="Y102" s="131"/>
      <c r="Z102" s="131"/>
      <c r="AA102" s="131"/>
      <c r="AB102" s="131"/>
      <c r="AC102" s="131"/>
      <c r="AD102" s="131"/>
      <c r="AE102" s="131"/>
      <c r="AF102" s="131"/>
      <c r="AG102" s="131"/>
      <c r="AH102" s="131"/>
      <c r="AI102" s="131"/>
      <c r="AJ102" s="131"/>
      <c r="AK102" s="131"/>
      <c r="AL102" s="131"/>
      <c r="AM102" s="131"/>
      <c r="AN102" s="131"/>
      <c r="AO102" s="131"/>
    </row>
    <row r="103" spans="1:41" ht="12.75" customHeight="1" x14ac:dyDescent="0.25">
      <c r="A103" s="131"/>
      <c r="B103" s="131"/>
      <c r="C103" s="151"/>
      <c r="D103" s="152"/>
      <c r="E103" s="152"/>
      <c r="F103" s="152"/>
      <c r="G103" s="152"/>
      <c r="H103" s="152"/>
      <c r="I103" s="152"/>
      <c r="J103" s="131"/>
      <c r="K103" s="152"/>
      <c r="L103" s="152"/>
      <c r="M103" s="152"/>
      <c r="N103" s="153"/>
      <c r="O103" s="153"/>
      <c r="P103" s="153"/>
      <c r="Q103" s="153"/>
      <c r="R103" s="153"/>
      <c r="S103" s="153"/>
      <c r="T103" s="153"/>
      <c r="U103" s="153"/>
      <c r="V103" s="156"/>
      <c r="W103" s="131"/>
      <c r="X103" s="131"/>
      <c r="Y103" s="131"/>
      <c r="Z103" s="131"/>
      <c r="AA103" s="131"/>
      <c r="AB103" s="131"/>
      <c r="AC103" s="131"/>
      <c r="AD103" s="131"/>
      <c r="AE103" s="131"/>
      <c r="AF103" s="131"/>
      <c r="AG103" s="131"/>
      <c r="AH103" s="131"/>
      <c r="AI103" s="131"/>
      <c r="AJ103" s="131"/>
      <c r="AK103" s="131"/>
      <c r="AL103" s="131"/>
      <c r="AM103" s="131"/>
      <c r="AN103" s="131"/>
      <c r="AO103" s="131"/>
    </row>
    <row r="104" spans="1:41" ht="12.75" customHeight="1" x14ac:dyDescent="0.25">
      <c r="A104" s="131"/>
      <c r="B104" s="131"/>
      <c r="C104" s="151"/>
      <c r="D104" s="152"/>
      <c r="E104" s="152"/>
      <c r="F104" s="152"/>
      <c r="G104" s="152"/>
      <c r="H104" s="152"/>
      <c r="I104" s="152"/>
      <c r="J104" s="131"/>
      <c r="K104" s="152"/>
      <c r="L104" s="152"/>
      <c r="M104" s="152"/>
      <c r="N104" s="153"/>
      <c r="O104" s="153"/>
      <c r="P104" s="153"/>
      <c r="Q104" s="153"/>
      <c r="R104" s="153"/>
      <c r="S104" s="153"/>
      <c r="T104" s="153"/>
      <c r="U104" s="153"/>
      <c r="V104" s="156"/>
      <c r="W104" s="131"/>
      <c r="X104" s="131"/>
      <c r="Y104" s="131"/>
      <c r="Z104" s="131"/>
      <c r="AA104" s="131"/>
      <c r="AB104" s="131"/>
      <c r="AC104" s="131"/>
      <c r="AD104" s="131"/>
      <c r="AE104" s="131"/>
      <c r="AF104" s="131"/>
      <c r="AG104" s="131"/>
      <c r="AH104" s="131"/>
      <c r="AI104" s="131"/>
      <c r="AJ104" s="131"/>
      <c r="AK104" s="131"/>
      <c r="AL104" s="131"/>
      <c r="AM104" s="131"/>
      <c r="AN104" s="131"/>
      <c r="AO104" s="131"/>
    </row>
    <row r="105" spans="1:41" ht="12.75" customHeight="1" x14ac:dyDescent="0.25">
      <c r="A105" s="131"/>
      <c r="B105" s="131"/>
      <c r="C105" s="151"/>
      <c r="D105" s="152"/>
      <c r="E105" s="152"/>
      <c r="F105" s="152"/>
      <c r="G105" s="152"/>
      <c r="H105" s="152"/>
      <c r="I105" s="152"/>
      <c r="J105" s="131"/>
      <c r="K105" s="152"/>
      <c r="L105" s="152"/>
      <c r="M105" s="152"/>
      <c r="N105" s="153"/>
      <c r="O105" s="153"/>
      <c r="P105" s="153"/>
      <c r="Q105" s="153"/>
      <c r="R105" s="153"/>
      <c r="S105" s="153"/>
      <c r="T105" s="153"/>
      <c r="U105" s="153"/>
      <c r="V105" s="156"/>
      <c r="W105" s="131"/>
      <c r="X105" s="131"/>
      <c r="Y105" s="131"/>
      <c r="Z105" s="131"/>
      <c r="AA105" s="131"/>
      <c r="AB105" s="131"/>
      <c r="AC105" s="131"/>
      <c r="AD105" s="131"/>
      <c r="AE105" s="131"/>
      <c r="AF105" s="131"/>
      <c r="AG105" s="131"/>
      <c r="AH105" s="131"/>
      <c r="AI105" s="131"/>
      <c r="AJ105" s="131"/>
      <c r="AK105" s="131"/>
      <c r="AL105" s="131"/>
      <c r="AM105" s="131"/>
      <c r="AN105" s="131"/>
      <c r="AO105" s="131"/>
    </row>
    <row r="106" spans="1:41" ht="12.75" customHeight="1" x14ac:dyDescent="0.25">
      <c r="A106" s="131"/>
      <c r="B106" s="131"/>
      <c r="C106" s="151"/>
      <c r="D106" s="152"/>
      <c r="E106" s="152"/>
      <c r="F106" s="152"/>
      <c r="G106" s="152"/>
      <c r="H106" s="152"/>
      <c r="I106" s="152"/>
      <c r="J106" s="131"/>
      <c r="K106" s="152"/>
      <c r="L106" s="152"/>
      <c r="M106" s="152"/>
      <c r="N106" s="153"/>
      <c r="O106" s="153"/>
      <c r="P106" s="153"/>
      <c r="Q106" s="153"/>
      <c r="R106" s="153"/>
      <c r="S106" s="153"/>
      <c r="T106" s="153"/>
      <c r="U106" s="153"/>
      <c r="V106" s="156"/>
      <c r="W106" s="131"/>
      <c r="X106" s="131"/>
      <c r="Y106" s="131"/>
      <c r="Z106" s="131"/>
      <c r="AA106" s="131"/>
      <c r="AB106" s="131"/>
      <c r="AC106" s="131"/>
      <c r="AD106" s="131"/>
      <c r="AE106" s="131"/>
      <c r="AF106" s="131"/>
      <c r="AG106" s="131"/>
      <c r="AH106" s="131"/>
      <c r="AI106" s="131"/>
      <c r="AJ106" s="131"/>
      <c r="AK106" s="131"/>
      <c r="AL106" s="131"/>
      <c r="AM106" s="131"/>
      <c r="AN106" s="131"/>
      <c r="AO106" s="131"/>
    </row>
    <row r="107" spans="1:41" ht="12.75" customHeight="1" x14ac:dyDescent="0.25">
      <c r="A107" s="131"/>
      <c r="B107" s="131"/>
      <c r="C107" s="151"/>
      <c r="D107" s="152"/>
      <c r="E107" s="152"/>
      <c r="F107" s="152"/>
      <c r="G107" s="152"/>
      <c r="H107" s="152"/>
      <c r="I107" s="152"/>
      <c r="J107" s="131"/>
      <c r="K107" s="152"/>
      <c r="L107" s="152"/>
      <c r="M107" s="152"/>
      <c r="N107" s="153"/>
      <c r="O107" s="153"/>
      <c r="P107" s="153"/>
      <c r="Q107" s="153"/>
      <c r="R107" s="153"/>
      <c r="S107" s="153"/>
      <c r="T107" s="153"/>
      <c r="U107" s="153"/>
      <c r="V107" s="156"/>
      <c r="W107" s="131"/>
      <c r="X107" s="131"/>
      <c r="Y107" s="131"/>
      <c r="Z107" s="131"/>
      <c r="AA107" s="131"/>
      <c r="AB107" s="131"/>
      <c r="AC107" s="131"/>
      <c r="AD107" s="131"/>
      <c r="AE107" s="131"/>
      <c r="AF107" s="131"/>
      <c r="AG107" s="131"/>
      <c r="AH107" s="131"/>
      <c r="AI107" s="131"/>
      <c r="AJ107" s="131"/>
      <c r="AK107" s="131"/>
      <c r="AL107" s="131"/>
      <c r="AM107" s="131"/>
      <c r="AN107" s="131"/>
      <c r="AO107" s="131"/>
    </row>
    <row r="108" spans="1:41" ht="12.75" customHeight="1" x14ac:dyDescent="0.25">
      <c r="A108" s="131"/>
      <c r="B108" s="131"/>
      <c r="C108" s="151"/>
      <c r="D108" s="152"/>
      <c r="E108" s="152"/>
      <c r="F108" s="152"/>
      <c r="G108" s="152"/>
      <c r="H108" s="152"/>
      <c r="I108" s="152"/>
      <c r="J108" s="131"/>
      <c r="K108" s="152"/>
      <c r="L108" s="152"/>
      <c r="M108" s="152"/>
      <c r="N108" s="153"/>
      <c r="O108" s="153"/>
      <c r="P108" s="153"/>
      <c r="Q108" s="153"/>
      <c r="R108" s="153"/>
      <c r="S108" s="153"/>
      <c r="T108" s="153"/>
      <c r="U108" s="153"/>
      <c r="V108" s="156"/>
      <c r="W108" s="131"/>
      <c r="X108" s="131"/>
      <c r="Y108" s="131"/>
      <c r="Z108" s="131"/>
      <c r="AA108" s="131"/>
      <c r="AB108" s="131"/>
      <c r="AC108" s="131"/>
      <c r="AD108" s="131"/>
      <c r="AE108" s="131"/>
      <c r="AF108" s="131"/>
      <c r="AG108" s="131"/>
      <c r="AH108" s="131"/>
      <c r="AI108" s="131"/>
      <c r="AJ108" s="131"/>
      <c r="AK108" s="131"/>
      <c r="AL108" s="131"/>
      <c r="AM108" s="131"/>
      <c r="AN108" s="131"/>
      <c r="AO108" s="131"/>
    </row>
    <row r="109" spans="1:41" ht="12.75" customHeight="1" x14ac:dyDescent="0.25">
      <c r="A109" s="131"/>
      <c r="B109" s="131"/>
      <c r="C109" s="151"/>
      <c r="D109" s="152"/>
      <c r="E109" s="152"/>
      <c r="F109" s="152"/>
      <c r="G109" s="152"/>
      <c r="H109" s="152"/>
      <c r="I109" s="152"/>
      <c r="J109" s="131"/>
      <c r="K109" s="152"/>
      <c r="L109" s="152"/>
      <c r="M109" s="152"/>
      <c r="N109" s="153"/>
      <c r="O109" s="153"/>
      <c r="P109" s="153"/>
      <c r="Q109" s="153"/>
      <c r="R109" s="153"/>
      <c r="S109" s="153"/>
      <c r="T109" s="153"/>
      <c r="U109" s="153"/>
      <c r="V109" s="156"/>
      <c r="W109" s="131"/>
      <c r="X109" s="131"/>
      <c r="Y109" s="131"/>
      <c r="Z109" s="131"/>
      <c r="AA109" s="131"/>
      <c r="AB109" s="131"/>
      <c r="AC109" s="131"/>
      <c r="AD109" s="131"/>
      <c r="AE109" s="131"/>
      <c r="AF109" s="131"/>
      <c r="AG109" s="131"/>
      <c r="AH109" s="131"/>
      <c r="AI109" s="131"/>
      <c r="AJ109" s="131"/>
      <c r="AK109" s="131"/>
      <c r="AL109" s="131"/>
      <c r="AM109" s="131"/>
      <c r="AN109" s="131"/>
      <c r="AO109" s="131"/>
    </row>
    <row r="110" spans="1:41" ht="12.75" customHeight="1" x14ac:dyDescent="0.25">
      <c r="A110" s="131"/>
      <c r="B110" s="131"/>
      <c r="C110" s="151"/>
      <c r="D110" s="152"/>
      <c r="E110" s="152"/>
      <c r="F110" s="152"/>
      <c r="G110" s="152"/>
      <c r="H110" s="152"/>
      <c r="I110" s="152"/>
      <c r="J110" s="131"/>
      <c r="K110" s="152"/>
      <c r="L110" s="152"/>
      <c r="M110" s="152"/>
      <c r="N110" s="153"/>
      <c r="O110" s="153"/>
      <c r="P110" s="153"/>
      <c r="Q110" s="153"/>
      <c r="R110" s="153"/>
      <c r="S110" s="153"/>
      <c r="T110" s="153"/>
      <c r="U110" s="153"/>
      <c r="V110" s="156"/>
      <c r="W110" s="131"/>
      <c r="X110" s="131"/>
      <c r="Y110" s="131"/>
      <c r="Z110" s="131"/>
      <c r="AA110" s="131"/>
      <c r="AB110" s="131"/>
      <c r="AC110" s="131"/>
      <c r="AD110" s="131"/>
      <c r="AE110" s="131"/>
      <c r="AF110" s="131"/>
      <c r="AG110" s="131"/>
      <c r="AH110" s="131"/>
      <c r="AI110" s="131"/>
      <c r="AJ110" s="131"/>
      <c r="AK110" s="131"/>
      <c r="AL110" s="131"/>
      <c r="AM110" s="131"/>
      <c r="AN110" s="131"/>
      <c r="AO110" s="131"/>
    </row>
    <row r="111" spans="1:41" ht="12.75" customHeight="1" x14ac:dyDescent="0.25">
      <c r="A111" s="131"/>
      <c r="B111" s="131"/>
      <c r="C111" s="151"/>
      <c r="D111" s="152"/>
      <c r="E111" s="152"/>
      <c r="F111" s="152"/>
      <c r="G111" s="152"/>
      <c r="H111" s="152"/>
      <c r="I111" s="152"/>
      <c r="J111" s="131"/>
      <c r="K111" s="152"/>
      <c r="L111" s="152"/>
      <c r="M111" s="152"/>
      <c r="N111" s="153"/>
      <c r="O111" s="153"/>
      <c r="P111" s="153"/>
      <c r="Q111" s="153"/>
      <c r="R111" s="153"/>
      <c r="S111" s="153"/>
      <c r="T111" s="153"/>
      <c r="U111" s="153"/>
      <c r="V111" s="156"/>
      <c r="W111" s="131"/>
      <c r="X111" s="131"/>
      <c r="Y111" s="131"/>
      <c r="Z111" s="131"/>
      <c r="AA111" s="131"/>
      <c r="AB111" s="131"/>
      <c r="AC111" s="131"/>
      <c r="AD111" s="131"/>
      <c r="AE111" s="131"/>
      <c r="AF111" s="131"/>
      <c r="AG111" s="131"/>
      <c r="AH111" s="131"/>
      <c r="AI111" s="131"/>
      <c r="AJ111" s="131"/>
      <c r="AK111" s="131"/>
      <c r="AL111" s="131"/>
      <c r="AM111" s="131"/>
      <c r="AN111" s="131"/>
      <c r="AO111" s="131"/>
    </row>
    <row r="112" spans="1:41" ht="12.75" customHeight="1" x14ac:dyDescent="0.25">
      <c r="A112" s="131"/>
      <c r="B112" s="131"/>
      <c r="C112" s="151"/>
      <c r="D112" s="152"/>
      <c r="E112" s="152"/>
      <c r="F112" s="152"/>
      <c r="G112" s="152"/>
      <c r="H112" s="152"/>
      <c r="I112" s="152"/>
      <c r="J112" s="131"/>
      <c r="K112" s="152"/>
      <c r="L112" s="152"/>
      <c r="M112" s="152"/>
      <c r="N112" s="153"/>
      <c r="O112" s="153"/>
      <c r="P112" s="153"/>
      <c r="Q112" s="153"/>
      <c r="R112" s="153"/>
      <c r="S112" s="153"/>
      <c r="T112" s="153"/>
      <c r="U112" s="153"/>
      <c r="V112" s="156"/>
      <c r="W112" s="131"/>
      <c r="X112" s="131"/>
      <c r="Y112" s="131"/>
      <c r="Z112" s="131"/>
      <c r="AA112" s="131"/>
      <c r="AB112" s="131"/>
      <c r="AC112" s="131"/>
      <c r="AD112" s="131"/>
      <c r="AE112" s="131"/>
      <c r="AF112" s="131"/>
      <c r="AG112" s="131"/>
      <c r="AH112" s="131"/>
      <c r="AI112" s="131"/>
      <c r="AJ112" s="131"/>
      <c r="AK112" s="131"/>
      <c r="AL112" s="131"/>
      <c r="AM112" s="131"/>
      <c r="AN112" s="131"/>
      <c r="AO112" s="131"/>
    </row>
    <row r="113" spans="1:41" ht="12.75" customHeight="1" x14ac:dyDescent="0.25">
      <c r="A113" s="131"/>
      <c r="B113" s="131"/>
      <c r="C113" s="151"/>
      <c r="D113" s="152"/>
      <c r="E113" s="152"/>
      <c r="F113" s="152"/>
      <c r="G113" s="152"/>
      <c r="H113" s="152"/>
      <c r="I113" s="152"/>
      <c r="J113" s="131"/>
      <c r="K113" s="152"/>
      <c r="L113" s="152"/>
      <c r="M113" s="152"/>
      <c r="N113" s="153"/>
      <c r="O113" s="153"/>
      <c r="P113" s="153"/>
      <c r="Q113" s="153"/>
      <c r="R113" s="153"/>
      <c r="S113" s="153"/>
      <c r="T113" s="153"/>
      <c r="U113" s="153"/>
      <c r="V113" s="156"/>
      <c r="W113" s="131"/>
      <c r="X113" s="131"/>
      <c r="Y113" s="131"/>
      <c r="Z113" s="131"/>
      <c r="AA113" s="131"/>
      <c r="AB113" s="131"/>
      <c r="AC113" s="131"/>
      <c r="AD113" s="131"/>
      <c r="AE113" s="131"/>
      <c r="AF113" s="131"/>
      <c r="AG113" s="131"/>
      <c r="AH113" s="131"/>
      <c r="AI113" s="131"/>
      <c r="AJ113" s="131"/>
      <c r="AK113" s="131"/>
      <c r="AL113" s="131"/>
      <c r="AM113" s="131"/>
      <c r="AN113" s="131"/>
      <c r="AO113" s="131"/>
    </row>
    <row r="114" spans="1:41" ht="12.75" customHeight="1" x14ac:dyDescent="0.25">
      <c r="A114" s="131"/>
      <c r="B114" s="131"/>
      <c r="C114" s="151"/>
      <c r="D114" s="152"/>
      <c r="E114" s="152"/>
      <c r="F114" s="152"/>
      <c r="G114" s="152"/>
      <c r="H114" s="152"/>
      <c r="I114" s="152"/>
      <c r="J114" s="131"/>
      <c r="K114" s="152"/>
      <c r="L114" s="152"/>
      <c r="M114" s="152"/>
      <c r="N114" s="153"/>
      <c r="O114" s="153"/>
      <c r="P114" s="153"/>
      <c r="Q114" s="153"/>
      <c r="R114" s="153"/>
      <c r="S114" s="153"/>
      <c r="T114" s="153"/>
      <c r="U114" s="153"/>
      <c r="V114" s="156"/>
      <c r="W114" s="131"/>
      <c r="X114" s="131"/>
      <c r="Y114" s="131"/>
      <c r="Z114" s="131"/>
      <c r="AA114" s="131"/>
      <c r="AB114" s="131"/>
      <c r="AC114" s="131"/>
      <c r="AD114" s="131"/>
      <c r="AE114" s="131"/>
      <c r="AF114" s="131"/>
      <c r="AG114" s="131"/>
      <c r="AH114" s="131"/>
      <c r="AI114" s="131"/>
      <c r="AJ114" s="131"/>
      <c r="AK114" s="131"/>
      <c r="AL114" s="131"/>
      <c r="AM114" s="131"/>
      <c r="AN114" s="131"/>
      <c r="AO114" s="131"/>
    </row>
    <row r="115" spans="1:41" ht="12.75" customHeight="1" x14ac:dyDescent="0.25">
      <c r="A115" s="131"/>
      <c r="B115" s="131"/>
      <c r="C115" s="151"/>
      <c r="D115" s="152"/>
      <c r="E115" s="152"/>
      <c r="F115" s="152"/>
      <c r="G115" s="152"/>
      <c r="H115" s="152"/>
      <c r="I115" s="152"/>
      <c r="J115" s="131"/>
      <c r="K115" s="152"/>
      <c r="L115" s="152"/>
      <c r="M115" s="152"/>
      <c r="N115" s="153"/>
      <c r="O115" s="153"/>
      <c r="P115" s="153"/>
      <c r="Q115" s="153"/>
      <c r="R115" s="153"/>
      <c r="S115" s="153"/>
      <c r="T115" s="153"/>
      <c r="U115" s="153"/>
      <c r="V115" s="156"/>
      <c r="W115" s="131"/>
      <c r="X115" s="131"/>
      <c r="Y115" s="131"/>
      <c r="Z115" s="131"/>
      <c r="AA115" s="131"/>
      <c r="AB115" s="131"/>
      <c r="AC115" s="131"/>
      <c r="AD115" s="131"/>
      <c r="AE115" s="131"/>
      <c r="AF115" s="131"/>
      <c r="AG115" s="131"/>
      <c r="AH115" s="131"/>
      <c r="AI115" s="131"/>
      <c r="AJ115" s="131"/>
      <c r="AK115" s="131"/>
      <c r="AL115" s="131"/>
      <c r="AM115" s="131"/>
      <c r="AN115" s="131"/>
      <c r="AO115" s="131"/>
    </row>
    <row r="116" spans="1:41" ht="12.75" customHeight="1" x14ac:dyDescent="0.25">
      <c r="A116" s="131"/>
      <c r="B116" s="131"/>
      <c r="C116" s="151"/>
      <c r="D116" s="152"/>
      <c r="E116" s="152"/>
      <c r="F116" s="152"/>
      <c r="G116" s="152"/>
      <c r="H116" s="152"/>
      <c r="I116" s="152"/>
      <c r="J116" s="131"/>
      <c r="K116" s="152"/>
      <c r="L116" s="152"/>
      <c r="M116" s="152"/>
      <c r="N116" s="153"/>
      <c r="O116" s="153"/>
      <c r="P116" s="153"/>
      <c r="Q116" s="153"/>
      <c r="R116" s="153"/>
      <c r="S116" s="153"/>
      <c r="T116" s="153"/>
      <c r="U116" s="153"/>
      <c r="V116" s="156"/>
      <c r="W116" s="131"/>
      <c r="X116" s="131"/>
      <c r="Y116" s="131"/>
      <c r="Z116" s="131"/>
      <c r="AA116" s="131"/>
      <c r="AB116" s="131"/>
      <c r="AC116" s="131"/>
      <c r="AD116" s="131"/>
      <c r="AE116" s="131"/>
      <c r="AF116" s="131"/>
      <c r="AG116" s="131"/>
      <c r="AH116" s="131"/>
      <c r="AI116" s="131"/>
      <c r="AJ116" s="131"/>
      <c r="AK116" s="131"/>
      <c r="AL116" s="131"/>
      <c r="AM116" s="131"/>
      <c r="AN116" s="131"/>
      <c r="AO116" s="131"/>
    </row>
    <row r="117" spans="1:41" ht="12.75" customHeight="1" x14ac:dyDescent="0.25">
      <c r="A117" s="131"/>
      <c r="B117" s="131"/>
      <c r="C117" s="151"/>
      <c r="D117" s="152"/>
      <c r="E117" s="152"/>
      <c r="F117" s="152"/>
      <c r="G117" s="152"/>
      <c r="H117" s="152"/>
      <c r="I117" s="152"/>
      <c r="J117" s="131"/>
      <c r="K117" s="152"/>
      <c r="L117" s="152"/>
      <c r="M117" s="152"/>
      <c r="N117" s="153"/>
      <c r="O117" s="153"/>
      <c r="P117" s="153"/>
      <c r="Q117" s="153"/>
      <c r="R117" s="153"/>
      <c r="S117" s="153"/>
      <c r="T117" s="153"/>
      <c r="U117" s="153"/>
      <c r="V117" s="156"/>
      <c r="W117" s="131"/>
      <c r="X117" s="131"/>
      <c r="Y117" s="131"/>
      <c r="Z117" s="131"/>
      <c r="AA117" s="131"/>
      <c r="AB117" s="131"/>
      <c r="AC117" s="131"/>
      <c r="AD117" s="131"/>
      <c r="AE117" s="131"/>
      <c r="AF117" s="131"/>
      <c r="AG117" s="131"/>
      <c r="AH117" s="131"/>
      <c r="AI117" s="131"/>
      <c r="AJ117" s="131"/>
      <c r="AK117" s="131"/>
      <c r="AL117" s="131"/>
      <c r="AM117" s="131"/>
      <c r="AN117" s="131"/>
      <c r="AO117" s="131"/>
    </row>
    <row r="118" spans="1:41" ht="12.75" customHeight="1" x14ac:dyDescent="0.25">
      <c r="A118" s="131"/>
      <c r="B118" s="131"/>
      <c r="C118" s="151"/>
      <c r="D118" s="152"/>
      <c r="E118" s="152"/>
      <c r="F118" s="152"/>
      <c r="G118" s="152"/>
      <c r="H118" s="152"/>
      <c r="I118" s="152"/>
      <c r="J118" s="131"/>
      <c r="K118" s="152"/>
      <c r="L118" s="152"/>
      <c r="M118" s="152"/>
      <c r="N118" s="153"/>
      <c r="O118" s="153"/>
      <c r="P118" s="153"/>
      <c r="Q118" s="153"/>
      <c r="R118" s="153"/>
      <c r="S118" s="153"/>
      <c r="T118" s="153"/>
      <c r="U118" s="153"/>
      <c r="V118" s="156"/>
      <c r="W118" s="131"/>
      <c r="X118" s="131"/>
      <c r="Y118" s="131"/>
      <c r="Z118" s="131"/>
      <c r="AA118" s="131"/>
      <c r="AB118" s="131"/>
      <c r="AC118" s="131"/>
      <c r="AD118" s="131"/>
      <c r="AE118" s="131"/>
      <c r="AF118" s="131"/>
      <c r="AG118" s="131"/>
      <c r="AH118" s="131"/>
      <c r="AI118" s="131"/>
      <c r="AJ118" s="131"/>
      <c r="AK118" s="131"/>
      <c r="AL118" s="131"/>
      <c r="AM118" s="131"/>
      <c r="AN118" s="131"/>
      <c r="AO118" s="131"/>
    </row>
    <row r="119" spans="1:41" ht="12.75" customHeight="1" x14ac:dyDescent="0.25">
      <c r="A119" s="131"/>
      <c r="B119" s="131"/>
      <c r="C119" s="151"/>
      <c r="D119" s="152"/>
      <c r="E119" s="152"/>
      <c r="F119" s="152"/>
      <c r="G119" s="152"/>
      <c r="H119" s="152"/>
      <c r="I119" s="152"/>
      <c r="J119" s="131"/>
      <c r="K119" s="152"/>
      <c r="L119" s="152"/>
      <c r="M119" s="152"/>
      <c r="N119" s="153"/>
      <c r="O119" s="153"/>
      <c r="P119" s="153"/>
      <c r="Q119" s="153"/>
      <c r="R119" s="153"/>
      <c r="S119" s="153"/>
      <c r="T119" s="153"/>
      <c r="U119" s="153"/>
      <c r="V119" s="156"/>
      <c r="W119" s="131"/>
      <c r="X119" s="131"/>
      <c r="Y119" s="131"/>
      <c r="Z119" s="131"/>
      <c r="AA119" s="131"/>
      <c r="AB119" s="131"/>
      <c r="AC119" s="131"/>
      <c r="AD119" s="131"/>
      <c r="AE119" s="131"/>
      <c r="AF119" s="131"/>
      <c r="AG119" s="131"/>
      <c r="AH119" s="131"/>
      <c r="AI119" s="131"/>
      <c r="AJ119" s="131"/>
      <c r="AK119" s="131"/>
      <c r="AL119" s="131"/>
      <c r="AM119" s="131"/>
      <c r="AN119" s="131"/>
      <c r="AO119" s="131"/>
    </row>
    <row r="120" spans="1:41" ht="12.75" customHeight="1" x14ac:dyDescent="0.25">
      <c r="A120" s="131"/>
      <c r="B120" s="131"/>
      <c r="C120" s="151"/>
      <c r="D120" s="152"/>
      <c r="E120" s="152"/>
      <c r="F120" s="152"/>
      <c r="G120" s="152"/>
      <c r="H120" s="152"/>
      <c r="I120" s="152"/>
      <c r="J120" s="131"/>
      <c r="K120" s="152"/>
      <c r="L120" s="152"/>
      <c r="M120" s="152"/>
      <c r="N120" s="153"/>
      <c r="O120" s="153"/>
      <c r="P120" s="153"/>
      <c r="Q120" s="153"/>
      <c r="R120" s="153"/>
      <c r="S120" s="153"/>
      <c r="T120" s="153"/>
      <c r="U120" s="153"/>
      <c r="V120" s="156"/>
      <c r="W120" s="131"/>
      <c r="X120" s="131"/>
      <c r="Y120" s="131"/>
      <c r="Z120" s="131"/>
      <c r="AA120" s="131"/>
      <c r="AB120" s="131"/>
      <c r="AC120" s="131"/>
      <c r="AD120" s="131"/>
      <c r="AE120" s="131"/>
      <c r="AF120" s="131"/>
      <c r="AG120" s="131"/>
      <c r="AH120" s="131"/>
      <c r="AI120" s="131"/>
      <c r="AJ120" s="131"/>
      <c r="AK120" s="131"/>
      <c r="AL120" s="131"/>
      <c r="AM120" s="131"/>
      <c r="AN120" s="131"/>
      <c r="AO120" s="131"/>
    </row>
    <row r="121" spans="1:41" ht="12.75" customHeight="1" x14ac:dyDescent="0.25">
      <c r="A121" s="131"/>
      <c r="B121" s="131"/>
      <c r="C121" s="151"/>
      <c r="D121" s="152"/>
      <c r="E121" s="152"/>
      <c r="F121" s="152"/>
      <c r="G121" s="152"/>
      <c r="H121" s="152"/>
      <c r="I121" s="152"/>
      <c r="J121" s="131"/>
      <c r="K121" s="152"/>
      <c r="L121" s="152"/>
      <c r="M121" s="152"/>
      <c r="N121" s="153"/>
      <c r="O121" s="153"/>
      <c r="P121" s="153"/>
      <c r="Q121" s="153"/>
      <c r="R121" s="153"/>
      <c r="S121" s="153"/>
      <c r="T121" s="153"/>
      <c r="U121" s="153"/>
      <c r="V121" s="156"/>
      <c r="W121" s="131"/>
      <c r="X121" s="131"/>
      <c r="Y121" s="131"/>
      <c r="Z121" s="131"/>
      <c r="AA121" s="131"/>
      <c r="AB121" s="131"/>
      <c r="AC121" s="131"/>
      <c r="AD121" s="131"/>
      <c r="AE121" s="131"/>
      <c r="AF121" s="131"/>
      <c r="AG121" s="131"/>
      <c r="AH121" s="131"/>
      <c r="AI121" s="131"/>
      <c r="AJ121" s="131"/>
      <c r="AK121" s="131"/>
      <c r="AL121" s="131"/>
      <c r="AM121" s="131"/>
      <c r="AN121" s="131"/>
      <c r="AO121" s="131"/>
    </row>
    <row r="122" spans="1:41" ht="12.75" customHeight="1" x14ac:dyDescent="0.25">
      <c r="A122" s="131"/>
      <c r="B122" s="131"/>
      <c r="C122" s="151"/>
      <c r="D122" s="152"/>
      <c r="E122" s="152"/>
      <c r="F122" s="152"/>
      <c r="G122" s="152"/>
      <c r="H122" s="152"/>
      <c r="I122" s="152"/>
      <c r="J122" s="131"/>
      <c r="K122" s="152"/>
      <c r="L122" s="152"/>
      <c r="M122" s="152"/>
      <c r="N122" s="153"/>
      <c r="O122" s="153"/>
      <c r="P122" s="153"/>
      <c r="Q122" s="153"/>
      <c r="R122" s="153"/>
      <c r="S122" s="153"/>
      <c r="T122" s="153"/>
      <c r="U122" s="153"/>
      <c r="V122" s="156"/>
      <c r="W122" s="131"/>
      <c r="X122" s="131"/>
      <c r="Y122" s="131"/>
      <c r="Z122" s="131"/>
      <c r="AA122" s="131"/>
      <c r="AB122" s="131"/>
      <c r="AC122" s="131"/>
      <c r="AD122" s="131"/>
      <c r="AE122" s="131"/>
      <c r="AF122" s="131"/>
      <c r="AG122" s="131"/>
      <c r="AH122" s="131"/>
      <c r="AI122" s="131"/>
      <c r="AJ122" s="131"/>
      <c r="AK122" s="131"/>
      <c r="AL122" s="131"/>
      <c r="AM122" s="131"/>
      <c r="AN122" s="131"/>
      <c r="AO122" s="131"/>
    </row>
    <row r="123" spans="1:41" ht="12.75" customHeight="1" x14ac:dyDescent="0.25">
      <c r="A123" s="131"/>
      <c r="B123" s="131"/>
      <c r="C123" s="151"/>
      <c r="D123" s="152"/>
      <c r="E123" s="152"/>
      <c r="F123" s="152"/>
      <c r="G123" s="152"/>
      <c r="H123" s="152"/>
      <c r="I123" s="152"/>
      <c r="J123" s="131"/>
      <c r="K123" s="152"/>
      <c r="L123" s="152"/>
      <c r="M123" s="152"/>
      <c r="N123" s="153"/>
      <c r="O123" s="153"/>
      <c r="P123" s="153"/>
      <c r="Q123" s="153"/>
      <c r="R123" s="153"/>
      <c r="S123" s="153"/>
      <c r="T123" s="153"/>
      <c r="U123" s="153"/>
      <c r="V123" s="156"/>
      <c r="W123" s="131"/>
      <c r="X123" s="131"/>
      <c r="Y123" s="131"/>
      <c r="Z123" s="131"/>
      <c r="AA123" s="131"/>
      <c r="AB123" s="131"/>
      <c r="AC123" s="131"/>
      <c r="AD123" s="131"/>
      <c r="AE123" s="131"/>
      <c r="AF123" s="131"/>
      <c r="AG123" s="131"/>
      <c r="AH123" s="131"/>
      <c r="AI123" s="131"/>
      <c r="AJ123" s="131"/>
      <c r="AK123" s="131"/>
      <c r="AL123" s="131"/>
      <c r="AM123" s="131"/>
      <c r="AN123" s="131"/>
      <c r="AO123" s="131"/>
    </row>
    <row r="124" spans="1:41" ht="12.75" customHeight="1" x14ac:dyDescent="0.25">
      <c r="A124" s="131"/>
      <c r="B124" s="131"/>
      <c r="C124" s="151"/>
      <c r="D124" s="152"/>
      <c r="E124" s="152"/>
      <c r="F124" s="152"/>
      <c r="G124" s="152"/>
      <c r="H124" s="152"/>
      <c r="I124" s="152"/>
      <c r="J124" s="131"/>
      <c r="K124" s="152"/>
      <c r="L124" s="152"/>
      <c r="M124" s="152"/>
      <c r="N124" s="153"/>
      <c r="O124" s="153"/>
      <c r="P124" s="153"/>
      <c r="Q124" s="153"/>
      <c r="R124" s="153"/>
      <c r="S124" s="153"/>
      <c r="T124" s="153"/>
      <c r="U124" s="153"/>
      <c r="V124" s="156"/>
      <c r="W124" s="131"/>
      <c r="X124" s="131"/>
      <c r="Y124" s="131"/>
      <c r="Z124" s="131"/>
      <c r="AA124" s="131"/>
      <c r="AB124" s="131"/>
      <c r="AC124" s="131"/>
      <c r="AD124" s="131"/>
      <c r="AE124" s="131"/>
      <c r="AF124" s="131"/>
      <c r="AG124" s="131"/>
      <c r="AH124" s="131"/>
      <c r="AI124" s="131"/>
      <c r="AJ124" s="131"/>
      <c r="AK124" s="131"/>
      <c r="AL124" s="131"/>
      <c r="AM124" s="131"/>
      <c r="AN124" s="131"/>
      <c r="AO124" s="131"/>
    </row>
    <row r="125" spans="1:41" ht="12.75" customHeight="1" x14ac:dyDescent="0.25">
      <c r="A125" s="131"/>
      <c r="B125" s="131"/>
      <c r="C125" s="151"/>
      <c r="D125" s="152"/>
      <c r="E125" s="152"/>
      <c r="F125" s="152"/>
      <c r="G125" s="152"/>
      <c r="H125" s="152"/>
      <c r="I125" s="152"/>
      <c r="J125" s="131"/>
      <c r="K125" s="152"/>
      <c r="L125" s="152"/>
      <c r="M125" s="152"/>
      <c r="N125" s="153"/>
      <c r="O125" s="153"/>
      <c r="P125" s="153"/>
      <c r="Q125" s="153"/>
      <c r="R125" s="153"/>
      <c r="S125" s="153"/>
      <c r="T125" s="153"/>
      <c r="U125" s="153"/>
      <c r="V125" s="156"/>
      <c r="W125" s="131"/>
      <c r="X125" s="131"/>
      <c r="Y125" s="131"/>
      <c r="Z125" s="131"/>
      <c r="AA125" s="131"/>
      <c r="AB125" s="131"/>
      <c r="AC125" s="131"/>
      <c r="AD125" s="131"/>
      <c r="AE125" s="131"/>
      <c r="AF125" s="131"/>
      <c r="AG125" s="131"/>
      <c r="AH125" s="131"/>
      <c r="AI125" s="131"/>
      <c r="AJ125" s="131"/>
      <c r="AK125" s="131"/>
      <c r="AL125" s="131"/>
      <c r="AM125" s="131"/>
      <c r="AN125" s="131"/>
      <c r="AO125" s="131"/>
    </row>
    <row r="126" spans="1:41" ht="12.75" customHeight="1" x14ac:dyDescent="0.25">
      <c r="A126" s="131"/>
      <c r="B126" s="131"/>
      <c r="C126" s="151"/>
      <c r="D126" s="152"/>
      <c r="E126" s="152"/>
      <c r="F126" s="152"/>
      <c r="G126" s="152"/>
      <c r="H126" s="152"/>
      <c r="I126" s="152"/>
      <c r="J126" s="131"/>
      <c r="K126" s="152"/>
      <c r="L126" s="152"/>
      <c r="M126" s="152"/>
      <c r="N126" s="153"/>
      <c r="O126" s="153"/>
      <c r="P126" s="153"/>
      <c r="Q126" s="153"/>
      <c r="R126" s="153"/>
      <c r="S126" s="153"/>
      <c r="T126" s="153"/>
      <c r="U126" s="153"/>
      <c r="V126" s="156"/>
      <c r="W126" s="131"/>
      <c r="X126" s="131"/>
      <c r="Y126" s="131"/>
      <c r="Z126" s="131"/>
      <c r="AA126" s="131"/>
      <c r="AB126" s="131"/>
      <c r="AC126" s="131"/>
      <c r="AD126" s="131"/>
      <c r="AE126" s="131"/>
      <c r="AF126" s="131"/>
      <c r="AG126" s="131"/>
      <c r="AH126" s="131"/>
      <c r="AI126" s="131"/>
      <c r="AJ126" s="131"/>
      <c r="AK126" s="131"/>
      <c r="AL126" s="131"/>
      <c r="AM126" s="131"/>
      <c r="AN126" s="131"/>
      <c r="AO126" s="131"/>
    </row>
    <row r="127" spans="1:41" ht="12.75" customHeight="1" x14ac:dyDescent="0.25">
      <c r="A127" s="131"/>
      <c r="B127" s="131"/>
      <c r="C127" s="151"/>
      <c r="D127" s="152"/>
      <c r="E127" s="152"/>
      <c r="F127" s="152"/>
      <c r="G127" s="152"/>
      <c r="H127" s="152"/>
      <c r="I127" s="152"/>
      <c r="J127" s="131"/>
      <c r="K127" s="152"/>
      <c r="L127" s="152"/>
      <c r="M127" s="152"/>
      <c r="N127" s="153"/>
      <c r="O127" s="153"/>
      <c r="P127" s="153"/>
      <c r="Q127" s="153"/>
      <c r="R127" s="153"/>
      <c r="S127" s="153"/>
      <c r="T127" s="153"/>
      <c r="U127" s="153"/>
      <c r="V127" s="156"/>
      <c r="W127" s="131"/>
      <c r="X127" s="131"/>
      <c r="Y127" s="131"/>
      <c r="Z127" s="131"/>
      <c r="AA127" s="131"/>
      <c r="AB127" s="131"/>
      <c r="AC127" s="131"/>
      <c r="AD127" s="131"/>
      <c r="AE127" s="131"/>
      <c r="AF127" s="131"/>
      <c r="AG127" s="131"/>
      <c r="AH127" s="131"/>
      <c r="AI127" s="131"/>
      <c r="AJ127" s="131"/>
      <c r="AK127" s="131"/>
      <c r="AL127" s="131"/>
      <c r="AM127" s="131"/>
      <c r="AN127" s="131"/>
      <c r="AO127" s="131"/>
    </row>
    <row r="128" spans="1:41" ht="12.75" customHeight="1" x14ac:dyDescent="0.25">
      <c r="A128" s="131"/>
      <c r="B128" s="131"/>
      <c r="C128" s="151"/>
      <c r="D128" s="152"/>
      <c r="E128" s="152"/>
      <c r="F128" s="152"/>
      <c r="G128" s="152"/>
      <c r="H128" s="152"/>
      <c r="I128" s="152"/>
      <c r="J128" s="131"/>
      <c r="K128" s="152"/>
      <c r="L128" s="152"/>
      <c r="M128" s="152"/>
      <c r="N128" s="153"/>
      <c r="O128" s="153"/>
      <c r="P128" s="153"/>
      <c r="Q128" s="153"/>
      <c r="R128" s="153"/>
      <c r="S128" s="153"/>
      <c r="T128" s="153"/>
      <c r="U128" s="153"/>
      <c r="V128" s="156"/>
      <c r="W128" s="131"/>
      <c r="X128" s="131"/>
      <c r="Y128" s="131"/>
      <c r="Z128" s="131"/>
      <c r="AA128" s="131"/>
      <c r="AB128" s="131"/>
      <c r="AC128" s="131"/>
      <c r="AD128" s="131"/>
      <c r="AE128" s="131"/>
      <c r="AF128" s="131"/>
      <c r="AG128" s="131"/>
      <c r="AH128" s="131"/>
      <c r="AI128" s="131"/>
      <c r="AJ128" s="131"/>
      <c r="AK128" s="131"/>
      <c r="AL128" s="131"/>
      <c r="AM128" s="131"/>
      <c r="AN128" s="131"/>
      <c r="AO128" s="131"/>
    </row>
    <row r="129" spans="1:41" ht="12.75" customHeight="1" x14ac:dyDescent="0.25">
      <c r="A129" s="131"/>
      <c r="B129" s="131"/>
      <c r="C129" s="151"/>
      <c r="D129" s="152"/>
      <c r="E129" s="152"/>
      <c r="F129" s="152"/>
      <c r="G129" s="152"/>
      <c r="H129" s="152"/>
      <c r="I129" s="152"/>
      <c r="J129" s="131"/>
      <c r="K129" s="152"/>
      <c r="L129" s="152"/>
      <c r="M129" s="152"/>
      <c r="N129" s="153"/>
      <c r="O129" s="153"/>
      <c r="P129" s="153"/>
      <c r="Q129" s="153"/>
      <c r="R129" s="153"/>
      <c r="S129" s="153"/>
      <c r="T129" s="153"/>
      <c r="U129" s="153"/>
      <c r="V129" s="156"/>
      <c r="W129" s="131"/>
      <c r="X129" s="131"/>
      <c r="Y129" s="131"/>
      <c r="Z129" s="131"/>
      <c r="AA129" s="131"/>
      <c r="AB129" s="131"/>
      <c r="AC129" s="131"/>
      <c r="AD129" s="131"/>
      <c r="AE129" s="131"/>
      <c r="AF129" s="131"/>
      <c r="AG129" s="131"/>
      <c r="AH129" s="131"/>
      <c r="AI129" s="131"/>
      <c r="AJ129" s="131"/>
      <c r="AK129" s="131"/>
      <c r="AL129" s="131"/>
      <c r="AM129" s="131"/>
      <c r="AN129" s="131"/>
      <c r="AO129" s="131"/>
    </row>
    <row r="130" spans="1:41" ht="12.75" customHeight="1" x14ac:dyDescent="0.25">
      <c r="A130" s="131"/>
      <c r="B130" s="131"/>
      <c r="C130" s="151"/>
      <c r="D130" s="152"/>
      <c r="E130" s="152"/>
      <c r="F130" s="152"/>
      <c r="G130" s="152"/>
      <c r="H130" s="152"/>
      <c r="I130" s="152"/>
      <c r="J130" s="131"/>
      <c r="K130" s="152"/>
      <c r="L130" s="152"/>
      <c r="M130" s="152"/>
      <c r="N130" s="153"/>
      <c r="O130" s="153"/>
      <c r="P130" s="153"/>
      <c r="Q130" s="153"/>
      <c r="R130" s="153"/>
      <c r="S130" s="153"/>
      <c r="T130" s="153"/>
      <c r="U130" s="153"/>
      <c r="V130" s="156"/>
      <c r="W130" s="131"/>
      <c r="X130" s="131"/>
      <c r="Y130" s="131"/>
      <c r="Z130" s="131"/>
      <c r="AA130" s="131"/>
      <c r="AB130" s="131"/>
      <c r="AC130" s="131"/>
      <c r="AD130" s="131"/>
      <c r="AE130" s="131"/>
      <c r="AF130" s="131"/>
      <c r="AG130" s="131"/>
      <c r="AH130" s="131"/>
      <c r="AI130" s="131"/>
      <c r="AJ130" s="131"/>
      <c r="AK130" s="131"/>
      <c r="AL130" s="131"/>
      <c r="AM130" s="131"/>
      <c r="AN130" s="131"/>
      <c r="AO130" s="131"/>
    </row>
    <row r="131" spans="1:41" ht="12.75" customHeight="1" x14ac:dyDescent="0.25">
      <c r="A131" s="131"/>
      <c r="B131" s="131"/>
      <c r="C131" s="151"/>
      <c r="D131" s="152"/>
      <c r="E131" s="152"/>
      <c r="F131" s="152"/>
      <c r="G131" s="152"/>
      <c r="H131" s="152"/>
      <c r="I131" s="152"/>
      <c r="J131" s="131"/>
      <c r="K131" s="152"/>
      <c r="L131" s="152"/>
      <c r="M131" s="152"/>
      <c r="N131" s="153"/>
      <c r="O131" s="153"/>
      <c r="P131" s="153"/>
      <c r="Q131" s="153"/>
      <c r="R131" s="153"/>
      <c r="S131" s="153"/>
      <c r="T131" s="153"/>
      <c r="U131" s="153"/>
      <c r="V131" s="156"/>
      <c r="W131" s="131"/>
      <c r="X131" s="131"/>
      <c r="Y131" s="131"/>
      <c r="Z131" s="131"/>
      <c r="AA131" s="131"/>
      <c r="AB131" s="131"/>
      <c r="AC131" s="131"/>
      <c r="AD131" s="131"/>
      <c r="AE131" s="131"/>
      <c r="AF131" s="131"/>
      <c r="AG131" s="131"/>
      <c r="AH131" s="131"/>
      <c r="AI131" s="131"/>
      <c r="AJ131" s="131"/>
      <c r="AK131" s="131"/>
      <c r="AL131" s="131"/>
      <c r="AM131" s="131"/>
      <c r="AN131" s="131"/>
      <c r="AO131" s="131"/>
    </row>
    <row r="132" spans="1:41" ht="12.75" customHeight="1" x14ac:dyDescent="0.25">
      <c r="A132" s="131"/>
      <c r="B132" s="131"/>
      <c r="C132" s="151"/>
      <c r="D132" s="152"/>
      <c r="E132" s="152"/>
      <c r="F132" s="152"/>
      <c r="G132" s="152"/>
      <c r="H132" s="152"/>
      <c r="I132" s="152"/>
      <c r="J132" s="131"/>
      <c r="K132" s="152"/>
      <c r="L132" s="152"/>
      <c r="M132" s="152"/>
      <c r="N132" s="153"/>
      <c r="O132" s="153"/>
      <c r="P132" s="153"/>
      <c r="Q132" s="153"/>
      <c r="R132" s="153"/>
      <c r="S132" s="153"/>
      <c r="T132" s="153"/>
      <c r="U132" s="153"/>
      <c r="V132" s="156"/>
      <c r="W132" s="131"/>
      <c r="X132" s="131"/>
      <c r="Y132" s="131"/>
      <c r="Z132" s="131"/>
      <c r="AA132" s="131"/>
      <c r="AB132" s="131"/>
      <c r="AC132" s="131"/>
      <c r="AD132" s="131"/>
      <c r="AE132" s="131"/>
      <c r="AF132" s="131"/>
      <c r="AG132" s="131"/>
      <c r="AH132" s="131"/>
      <c r="AI132" s="131"/>
      <c r="AJ132" s="131"/>
      <c r="AK132" s="131"/>
      <c r="AL132" s="131"/>
      <c r="AM132" s="131"/>
      <c r="AN132" s="131"/>
      <c r="AO132" s="131"/>
    </row>
    <row r="133" spans="1:41" ht="12.75" customHeight="1" x14ac:dyDescent="0.25">
      <c r="A133" s="131"/>
      <c r="B133" s="131"/>
      <c r="C133" s="151"/>
      <c r="D133" s="152"/>
      <c r="E133" s="152"/>
      <c r="F133" s="152"/>
      <c r="G133" s="152"/>
      <c r="H133" s="152"/>
      <c r="I133" s="152"/>
      <c r="J133" s="131"/>
      <c r="K133" s="152"/>
      <c r="L133" s="152"/>
      <c r="M133" s="152"/>
      <c r="N133" s="153"/>
      <c r="O133" s="153"/>
      <c r="P133" s="153"/>
      <c r="Q133" s="153"/>
      <c r="R133" s="153"/>
      <c r="S133" s="153"/>
      <c r="T133" s="153"/>
      <c r="U133" s="153"/>
      <c r="V133" s="156"/>
      <c r="W133" s="131"/>
      <c r="X133" s="131"/>
      <c r="Y133" s="131"/>
      <c r="Z133" s="131"/>
      <c r="AA133" s="131"/>
      <c r="AB133" s="131"/>
      <c r="AC133" s="131"/>
      <c r="AD133" s="131"/>
      <c r="AE133" s="131"/>
      <c r="AF133" s="131"/>
      <c r="AG133" s="131"/>
      <c r="AH133" s="131"/>
      <c r="AI133" s="131"/>
      <c r="AJ133" s="131"/>
      <c r="AK133" s="131"/>
      <c r="AL133" s="131"/>
      <c r="AM133" s="131"/>
      <c r="AN133" s="131"/>
      <c r="AO133" s="131"/>
    </row>
    <row r="134" spans="1:41" ht="12.75" customHeight="1" x14ac:dyDescent="0.25">
      <c r="A134" s="131"/>
      <c r="B134" s="131"/>
      <c r="C134" s="151"/>
      <c r="D134" s="152"/>
      <c r="E134" s="152"/>
      <c r="F134" s="152"/>
      <c r="G134" s="152"/>
      <c r="H134" s="152"/>
      <c r="I134" s="152"/>
      <c r="J134" s="131"/>
      <c r="K134" s="152"/>
      <c r="L134" s="152"/>
      <c r="M134" s="152"/>
      <c r="N134" s="153"/>
      <c r="O134" s="153"/>
      <c r="P134" s="153"/>
      <c r="Q134" s="153"/>
      <c r="R134" s="153"/>
      <c r="S134" s="153"/>
      <c r="T134" s="153"/>
      <c r="U134" s="153"/>
      <c r="V134" s="156"/>
      <c r="W134" s="131"/>
      <c r="X134" s="131"/>
      <c r="Y134" s="131"/>
      <c r="Z134" s="131"/>
      <c r="AA134" s="131"/>
      <c r="AB134" s="131"/>
      <c r="AC134" s="131"/>
      <c r="AD134" s="131"/>
      <c r="AE134" s="131"/>
      <c r="AF134" s="131"/>
      <c r="AG134" s="131"/>
      <c r="AH134" s="131"/>
      <c r="AI134" s="131"/>
      <c r="AJ134" s="131"/>
      <c r="AK134" s="131"/>
      <c r="AL134" s="131"/>
      <c r="AM134" s="131"/>
      <c r="AN134" s="131"/>
      <c r="AO134" s="131"/>
    </row>
    <row r="135" spans="1:41" ht="12.75" customHeight="1" x14ac:dyDescent="0.25">
      <c r="A135" s="131"/>
      <c r="B135" s="131"/>
      <c r="C135" s="151"/>
      <c r="D135" s="152"/>
      <c r="E135" s="152"/>
      <c r="F135" s="152"/>
      <c r="G135" s="152"/>
      <c r="H135" s="152"/>
      <c r="I135" s="152"/>
      <c r="J135" s="131"/>
      <c r="K135" s="152"/>
      <c r="L135" s="152"/>
      <c r="M135" s="152"/>
      <c r="N135" s="153"/>
      <c r="O135" s="153"/>
      <c r="P135" s="153"/>
      <c r="Q135" s="153"/>
      <c r="R135" s="153"/>
      <c r="S135" s="153"/>
      <c r="T135" s="153"/>
      <c r="U135" s="153"/>
      <c r="V135" s="156"/>
      <c r="W135" s="131"/>
      <c r="X135" s="131"/>
      <c r="Y135" s="131"/>
      <c r="Z135" s="131"/>
      <c r="AA135" s="131"/>
      <c r="AB135" s="131"/>
      <c r="AC135" s="131"/>
      <c r="AD135" s="131"/>
      <c r="AE135" s="131"/>
      <c r="AF135" s="131"/>
      <c r="AG135" s="131"/>
      <c r="AH135" s="131"/>
      <c r="AI135" s="131"/>
      <c r="AJ135" s="131"/>
      <c r="AK135" s="131"/>
      <c r="AL135" s="131"/>
      <c r="AM135" s="131"/>
      <c r="AN135" s="131"/>
      <c r="AO135" s="131"/>
    </row>
    <row r="136" spans="1:41" ht="12.75" customHeight="1" x14ac:dyDescent="0.25">
      <c r="A136" s="131"/>
      <c r="B136" s="131"/>
      <c r="C136" s="151"/>
      <c r="D136" s="152"/>
      <c r="E136" s="152"/>
      <c r="F136" s="152"/>
      <c r="G136" s="152"/>
      <c r="H136" s="152"/>
      <c r="I136" s="152"/>
      <c r="J136" s="131"/>
      <c r="K136" s="152"/>
      <c r="L136" s="152"/>
      <c r="M136" s="152"/>
      <c r="N136" s="153"/>
      <c r="O136" s="153"/>
      <c r="P136" s="153"/>
      <c r="Q136" s="153"/>
      <c r="R136" s="153"/>
      <c r="S136" s="153"/>
      <c r="T136" s="153"/>
      <c r="U136" s="153"/>
      <c r="V136" s="156"/>
      <c r="W136" s="131"/>
      <c r="X136" s="131"/>
      <c r="Y136" s="131"/>
      <c r="Z136" s="131"/>
      <c r="AA136" s="131"/>
      <c r="AB136" s="131"/>
      <c r="AC136" s="131"/>
      <c r="AD136" s="131"/>
      <c r="AE136" s="131"/>
      <c r="AF136" s="131"/>
      <c r="AG136" s="131"/>
      <c r="AH136" s="131"/>
      <c r="AI136" s="131"/>
      <c r="AJ136" s="131"/>
      <c r="AK136" s="131"/>
      <c r="AL136" s="131"/>
      <c r="AM136" s="131"/>
      <c r="AN136" s="131"/>
      <c r="AO136" s="131"/>
    </row>
    <row r="137" spans="1:41" ht="12.75" customHeight="1" x14ac:dyDescent="0.25">
      <c r="A137" s="131"/>
      <c r="B137" s="131"/>
      <c r="C137" s="151"/>
      <c r="D137" s="152"/>
      <c r="E137" s="152"/>
      <c r="F137" s="152"/>
      <c r="G137" s="152"/>
      <c r="H137" s="152"/>
      <c r="I137" s="152"/>
      <c r="J137" s="131"/>
      <c r="K137" s="152"/>
      <c r="L137" s="152"/>
      <c r="M137" s="152"/>
      <c r="N137" s="153"/>
      <c r="O137" s="153"/>
      <c r="P137" s="153"/>
      <c r="Q137" s="153"/>
      <c r="R137" s="153"/>
      <c r="S137" s="153"/>
      <c r="T137" s="153"/>
      <c r="U137" s="153"/>
      <c r="V137" s="156"/>
      <c r="W137" s="131"/>
      <c r="X137" s="131"/>
      <c r="Y137" s="131"/>
      <c r="Z137" s="131"/>
      <c r="AA137" s="131"/>
      <c r="AB137" s="131"/>
      <c r="AC137" s="131"/>
      <c r="AD137" s="131"/>
      <c r="AE137" s="131"/>
      <c r="AF137" s="131"/>
      <c r="AG137" s="131"/>
      <c r="AH137" s="131"/>
      <c r="AI137" s="131"/>
      <c r="AJ137" s="131"/>
      <c r="AK137" s="131"/>
      <c r="AL137" s="131"/>
      <c r="AM137" s="131"/>
      <c r="AN137" s="131"/>
      <c r="AO137" s="131"/>
    </row>
    <row r="138" spans="1:41" ht="12.75" customHeight="1" x14ac:dyDescent="0.25">
      <c r="A138" s="131"/>
      <c r="B138" s="131"/>
      <c r="C138" s="151"/>
      <c r="D138" s="152"/>
      <c r="E138" s="152"/>
      <c r="F138" s="152"/>
      <c r="G138" s="152"/>
      <c r="H138" s="152"/>
      <c r="I138" s="152"/>
      <c r="J138" s="131"/>
      <c r="K138" s="152"/>
      <c r="L138" s="152"/>
      <c r="M138" s="152"/>
      <c r="N138" s="153"/>
      <c r="O138" s="153"/>
      <c r="P138" s="153"/>
      <c r="Q138" s="153"/>
      <c r="R138" s="153"/>
      <c r="S138" s="153"/>
      <c r="T138" s="153"/>
      <c r="U138" s="153"/>
      <c r="V138" s="156"/>
      <c r="W138" s="131"/>
      <c r="X138" s="131"/>
      <c r="Y138" s="131"/>
      <c r="Z138" s="131"/>
      <c r="AA138" s="131"/>
      <c r="AB138" s="131"/>
      <c r="AC138" s="131"/>
      <c r="AD138" s="131"/>
      <c r="AE138" s="131"/>
      <c r="AF138" s="131"/>
      <c r="AG138" s="131"/>
      <c r="AH138" s="131"/>
      <c r="AI138" s="131"/>
      <c r="AJ138" s="131"/>
      <c r="AK138" s="131"/>
      <c r="AL138" s="131"/>
      <c r="AM138" s="131"/>
      <c r="AN138" s="131"/>
      <c r="AO138" s="131"/>
    </row>
    <row r="139" spans="1:41" ht="12.75" customHeight="1" x14ac:dyDescent="0.25">
      <c r="A139" s="131"/>
      <c r="B139" s="131"/>
      <c r="C139" s="151"/>
      <c r="D139" s="152"/>
      <c r="E139" s="152"/>
      <c r="F139" s="152"/>
      <c r="G139" s="152"/>
      <c r="H139" s="152"/>
      <c r="I139" s="152"/>
      <c r="J139" s="131"/>
      <c r="K139" s="152"/>
      <c r="L139" s="152"/>
      <c r="M139" s="152"/>
      <c r="N139" s="153"/>
      <c r="O139" s="153"/>
      <c r="P139" s="153"/>
      <c r="Q139" s="153"/>
      <c r="R139" s="153"/>
      <c r="S139" s="153"/>
      <c r="T139" s="153"/>
      <c r="U139" s="153"/>
      <c r="V139" s="156"/>
      <c r="W139" s="131"/>
      <c r="X139" s="131"/>
      <c r="Y139" s="131"/>
      <c r="Z139" s="131"/>
      <c r="AA139" s="131"/>
      <c r="AB139" s="131"/>
      <c r="AC139" s="131"/>
      <c r="AD139" s="131"/>
      <c r="AE139" s="131"/>
      <c r="AF139" s="131"/>
      <c r="AG139" s="131"/>
      <c r="AH139" s="131"/>
      <c r="AI139" s="131"/>
      <c r="AJ139" s="131"/>
      <c r="AK139" s="131"/>
      <c r="AL139" s="131"/>
      <c r="AM139" s="131"/>
      <c r="AN139" s="131"/>
      <c r="AO139" s="131"/>
    </row>
    <row r="140" spans="1:41" ht="12.75" customHeight="1" x14ac:dyDescent="0.25">
      <c r="A140" s="131"/>
      <c r="B140" s="131"/>
      <c r="C140" s="151"/>
      <c r="D140" s="152"/>
      <c r="E140" s="152"/>
      <c r="F140" s="152"/>
      <c r="G140" s="152"/>
      <c r="H140" s="152"/>
      <c r="I140" s="152"/>
      <c r="J140" s="131"/>
      <c r="K140" s="152"/>
      <c r="L140" s="152"/>
      <c r="M140" s="152"/>
      <c r="N140" s="153"/>
      <c r="O140" s="153"/>
      <c r="P140" s="153"/>
      <c r="Q140" s="153"/>
      <c r="R140" s="153"/>
      <c r="S140" s="153"/>
      <c r="T140" s="153"/>
      <c r="U140" s="153"/>
      <c r="V140" s="156"/>
      <c r="W140" s="131"/>
      <c r="X140" s="131"/>
      <c r="Y140" s="131"/>
      <c r="Z140" s="131"/>
      <c r="AA140" s="131"/>
      <c r="AB140" s="131"/>
      <c r="AC140" s="131"/>
      <c r="AD140" s="131"/>
      <c r="AE140" s="131"/>
      <c r="AF140" s="131"/>
      <c r="AG140" s="131"/>
      <c r="AH140" s="131"/>
      <c r="AI140" s="131"/>
      <c r="AJ140" s="131"/>
      <c r="AK140" s="131"/>
      <c r="AL140" s="131"/>
      <c r="AM140" s="131"/>
      <c r="AN140" s="131"/>
      <c r="AO140" s="131"/>
    </row>
    <row r="141" spans="1:41" ht="12.75" customHeight="1" x14ac:dyDescent="0.25">
      <c r="A141" s="131"/>
      <c r="B141" s="131"/>
      <c r="C141" s="151"/>
      <c r="D141" s="152"/>
      <c r="E141" s="152"/>
      <c r="F141" s="152"/>
      <c r="G141" s="152"/>
      <c r="H141" s="152"/>
      <c r="I141" s="152"/>
      <c r="J141" s="131"/>
      <c r="K141" s="152"/>
      <c r="L141" s="152"/>
      <c r="M141" s="152"/>
      <c r="N141" s="153"/>
      <c r="O141" s="153"/>
      <c r="P141" s="153"/>
      <c r="Q141" s="153"/>
      <c r="R141" s="153"/>
      <c r="S141" s="153"/>
      <c r="T141" s="153"/>
      <c r="U141" s="153"/>
      <c r="V141" s="156"/>
      <c r="W141" s="131"/>
      <c r="X141" s="131"/>
      <c r="Y141" s="131"/>
      <c r="Z141" s="131"/>
      <c r="AA141" s="131"/>
      <c r="AB141" s="131"/>
      <c r="AC141" s="131"/>
      <c r="AD141" s="131"/>
      <c r="AE141" s="131"/>
      <c r="AF141" s="131"/>
      <c r="AG141" s="131"/>
      <c r="AH141" s="131"/>
      <c r="AI141" s="131"/>
      <c r="AJ141" s="131"/>
      <c r="AK141" s="131"/>
      <c r="AL141" s="131"/>
      <c r="AM141" s="131"/>
      <c r="AN141" s="131"/>
      <c r="AO141" s="131"/>
    </row>
    <row r="142" spans="1:41" ht="12.75" customHeight="1" x14ac:dyDescent="0.25">
      <c r="A142" s="131"/>
      <c r="B142" s="131"/>
      <c r="C142" s="151"/>
      <c r="D142" s="152"/>
      <c r="E142" s="152"/>
      <c r="F142" s="152"/>
      <c r="G142" s="152"/>
      <c r="H142" s="152"/>
      <c r="I142" s="152"/>
      <c r="J142" s="131"/>
      <c r="K142" s="152"/>
      <c r="L142" s="152"/>
      <c r="M142" s="152"/>
      <c r="N142" s="153"/>
      <c r="O142" s="153"/>
      <c r="P142" s="153"/>
      <c r="Q142" s="153"/>
      <c r="R142" s="153"/>
      <c r="S142" s="153"/>
      <c r="T142" s="153"/>
      <c r="U142" s="153"/>
      <c r="V142" s="156"/>
      <c r="W142" s="131"/>
      <c r="X142" s="131"/>
      <c r="Y142" s="131"/>
      <c r="Z142" s="131"/>
      <c r="AA142" s="131"/>
      <c r="AB142" s="131"/>
      <c r="AC142" s="131"/>
      <c r="AD142" s="131"/>
      <c r="AE142" s="131"/>
      <c r="AF142" s="131"/>
      <c r="AG142" s="131"/>
      <c r="AH142" s="131"/>
      <c r="AI142" s="131"/>
      <c r="AJ142" s="131"/>
      <c r="AK142" s="131"/>
      <c r="AL142" s="131"/>
      <c r="AM142" s="131"/>
      <c r="AN142" s="131"/>
      <c r="AO142" s="131"/>
    </row>
    <row r="143" spans="1:41" ht="12.75" customHeight="1" x14ac:dyDescent="0.25">
      <c r="A143" s="131"/>
      <c r="B143" s="131"/>
      <c r="C143" s="151"/>
      <c r="D143" s="152"/>
      <c r="E143" s="152"/>
      <c r="F143" s="152"/>
      <c r="G143" s="152"/>
      <c r="H143" s="152"/>
      <c r="I143" s="152"/>
      <c r="J143" s="131"/>
      <c r="K143" s="152"/>
      <c r="L143" s="152"/>
      <c r="M143" s="152"/>
      <c r="N143" s="153"/>
      <c r="O143" s="153"/>
      <c r="P143" s="153"/>
      <c r="Q143" s="153"/>
      <c r="R143" s="153"/>
      <c r="S143" s="153"/>
      <c r="T143" s="153"/>
      <c r="U143" s="153"/>
      <c r="V143" s="156"/>
      <c r="W143" s="131"/>
      <c r="X143" s="131"/>
      <c r="Y143" s="131"/>
      <c r="Z143" s="131"/>
      <c r="AA143" s="131"/>
      <c r="AB143" s="131"/>
      <c r="AC143" s="131"/>
      <c r="AD143" s="131"/>
      <c r="AE143" s="131"/>
      <c r="AF143" s="131"/>
      <c r="AG143" s="131"/>
      <c r="AH143" s="131"/>
      <c r="AI143" s="131"/>
      <c r="AJ143" s="131"/>
      <c r="AK143" s="131"/>
      <c r="AL143" s="131"/>
      <c r="AM143" s="131"/>
      <c r="AN143" s="131"/>
      <c r="AO143" s="131"/>
    </row>
    <row r="144" spans="1:41" ht="12.75" customHeight="1" x14ac:dyDescent="0.25">
      <c r="A144" s="131"/>
      <c r="B144" s="131"/>
      <c r="C144" s="151"/>
      <c r="D144" s="152"/>
      <c r="E144" s="152"/>
      <c r="F144" s="152"/>
      <c r="G144" s="152"/>
      <c r="H144" s="152"/>
      <c r="I144" s="152"/>
      <c r="J144" s="131"/>
      <c r="K144" s="152"/>
      <c r="L144" s="152"/>
      <c r="M144" s="152"/>
      <c r="N144" s="153"/>
      <c r="O144" s="153"/>
      <c r="P144" s="153"/>
      <c r="Q144" s="153"/>
      <c r="R144" s="153"/>
      <c r="S144" s="153"/>
      <c r="T144" s="153"/>
      <c r="U144" s="153"/>
      <c r="V144" s="156"/>
      <c r="W144" s="131"/>
      <c r="X144" s="131"/>
      <c r="Y144" s="131"/>
      <c r="Z144" s="131"/>
      <c r="AA144" s="131"/>
      <c r="AB144" s="131"/>
      <c r="AC144" s="131"/>
      <c r="AD144" s="131"/>
      <c r="AE144" s="131"/>
      <c r="AF144" s="131"/>
      <c r="AG144" s="131"/>
      <c r="AH144" s="131"/>
      <c r="AI144" s="131"/>
      <c r="AJ144" s="131"/>
      <c r="AK144" s="131"/>
      <c r="AL144" s="131"/>
      <c r="AM144" s="131"/>
      <c r="AN144" s="131"/>
      <c r="AO144" s="131"/>
    </row>
    <row r="145" spans="1:41" ht="12.75" customHeight="1" x14ac:dyDescent="0.25">
      <c r="A145" s="131"/>
      <c r="B145" s="131"/>
      <c r="C145" s="151"/>
      <c r="D145" s="152"/>
      <c r="E145" s="152"/>
      <c r="F145" s="152"/>
      <c r="G145" s="152"/>
      <c r="H145" s="152"/>
      <c r="I145" s="152"/>
      <c r="J145" s="131"/>
      <c r="K145" s="152"/>
      <c r="L145" s="152"/>
      <c r="M145" s="152"/>
      <c r="N145" s="153"/>
      <c r="O145" s="153"/>
      <c r="P145" s="153"/>
      <c r="Q145" s="153"/>
      <c r="R145" s="153"/>
      <c r="S145" s="153"/>
      <c r="T145" s="153"/>
      <c r="U145" s="153"/>
      <c r="V145" s="156"/>
      <c r="W145" s="131"/>
      <c r="X145" s="131"/>
      <c r="Y145" s="131"/>
      <c r="Z145" s="131"/>
      <c r="AA145" s="131"/>
      <c r="AB145" s="131"/>
      <c r="AC145" s="131"/>
      <c r="AD145" s="131"/>
      <c r="AE145" s="131"/>
      <c r="AF145" s="131"/>
      <c r="AG145" s="131"/>
      <c r="AH145" s="131"/>
      <c r="AI145" s="131"/>
      <c r="AJ145" s="131"/>
      <c r="AK145" s="131"/>
      <c r="AL145" s="131"/>
      <c r="AM145" s="131"/>
      <c r="AN145" s="131"/>
      <c r="AO145" s="131"/>
    </row>
    <row r="146" spans="1:41" ht="12.75" customHeight="1" x14ac:dyDescent="0.25">
      <c r="A146" s="131"/>
      <c r="B146" s="131"/>
      <c r="C146" s="151"/>
      <c r="D146" s="152"/>
      <c r="E146" s="152"/>
      <c r="F146" s="152"/>
      <c r="G146" s="152"/>
      <c r="H146" s="152"/>
      <c r="I146" s="152"/>
      <c r="J146" s="131"/>
      <c r="K146" s="152"/>
      <c r="L146" s="152"/>
      <c r="M146" s="152"/>
      <c r="N146" s="153"/>
      <c r="O146" s="153"/>
      <c r="P146" s="153"/>
      <c r="Q146" s="153"/>
      <c r="R146" s="153"/>
      <c r="S146" s="153"/>
      <c r="T146" s="153"/>
      <c r="U146" s="153"/>
      <c r="V146" s="156"/>
      <c r="W146" s="131"/>
      <c r="X146" s="131"/>
      <c r="Y146" s="131"/>
      <c r="Z146" s="131"/>
      <c r="AA146" s="131"/>
      <c r="AB146" s="131"/>
      <c r="AC146" s="131"/>
      <c r="AD146" s="131"/>
      <c r="AE146" s="131"/>
      <c r="AF146" s="131"/>
      <c r="AG146" s="131"/>
      <c r="AH146" s="131"/>
      <c r="AI146" s="131"/>
      <c r="AJ146" s="131"/>
      <c r="AK146" s="131"/>
      <c r="AL146" s="131"/>
      <c r="AM146" s="131"/>
      <c r="AN146" s="131"/>
      <c r="AO146" s="131"/>
    </row>
    <row r="147" spans="1:41" ht="12.75" customHeight="1" x14ac:dyDescent="0.25">
      <c r="A147" s="131"/>
      <c r="B147" s="131"/>
      <c r="C147" s="151"/>
      <c r="D147" s="152"/>
      <c r="E147" s="152"/>
      <c r="F147" s="152"/>
      <c r="G147" s="152"/>
      <c r="H147" s="152"/>
      <c r="I147" s="152"/>
      <c r="J147" s="131"/>
      <c r="K147" s="152"/>
      <c r="L147" s="152"/>
      <c r="M147" s="152"/>
      <c r="N147" s="153"/>
      <c r="O147" s="153"/>
      <c r="P147" s="153"/>
      <c r="Q147" s="153"/>
      <c r="R147" s="153"/>
      <c r="S147" s="153"/>
      <c r="T147" s="153"/>
      <c r="U147" s="153"/>
      <c r="V147" s="156"/>
      <c r="W147" s="131"/>
      <c r="X147" s="131"/>
      <c r="Y147" s="131"/>
      <c r="Z147" s="131"/>
      <c r="AA147" s="131"/>
      <c r="AB147" s="131"/>
      <c r="AC147" s="131"/>
      <c r="AD147" s="131"/>
      <c r="AE147" s="131"/>
      <c r="AF147" s="131"/>
      <c r="AG147" s="131"/>
      <c r="AH147" s="131"/>
      <c r="AI147" s="131"/>
      <c r="AJ147" s="131"/>
      <c r="AK147" s="131"/>
      <c r="AL147" s="131"/>
      <c r="AM147" s="131"/>
      <c r="AN147" s="131"/>
      <c r="AO147" s="131"/>
    </row>
    <row r="148" spans="1:41" ht="12.75" customHeight="1" x14ac:dyDescent="0.25">
      <c r="A148" s="131"/>
      <c r="B148" s="131"/>
      <c r="C148" s="151"/>
      <c r="D148" s="152"/>
      <c r="E148" s="152"/>
      <c r="F148" s="152"/>
      <c r="G148" s="152"/>
      <c r="H148" s="152"/>
      <c r="I148" s="152"/>
      <c r="J148" s="131"/>
      <c r="K148" s="152"/>
      <c r="L148" s="152"/>
      <c r="M148" s="152"/>
      <c r="N148" s="153"/>
      <c r="O148" s="153"/>
      <c r="P148" s="153"/>
      <c r="Q148" s="153"/>
      <c r="R148" s="153"/>
      <c r="S148" s="153"/>
      <c r="T148" s="153"/>
      <c r="U148" s="153"/>
      <c r="V148" s="156"/>
      <c r="W148" s="131"/>
      <c r="X148" s="131"/>
      <c r="Y148" s="131"/>
      <c r="Z148" s="131"/>
      <c r="AA148" s="131"/>
      <c r="AB148" s="131"/>
      <c r="AC148" s="131"/>
      <c r="AD148" s="131"/>
      <c r="AE148" s="131"/>
      <c r="AF148" s="131"/>
      <c r="AG148" s="131"/>
      <c r="AH148" s="131"/>
      <c r="AI148" s="131"/>
      <c r="AJ148" s="131"/>
      <c r="AK148" s="131"/>
      <c r="AL148" s="131"/>
      <c r="AM148" s="131"/>
      <c r="AN148" s="131"/>
      <c r="AO148" s="131"/>
    </row>
    <row r="149" spans="1:41" ht="12.75" customHeight="1" x14ac:dyDescent="0.25">
      <c r="A149" s="131"/>
      <c r="B149" s="131"/>
      <c r="C149" s="151"/>
      <c r="D149" s="152"/>
      <c r="E149" s="152"/>
      <c r="F149" s="152"/>
      <c r="G149" s="152"/>
      <c r="H149" s="152"/>
      <c r="I149" s="152"/>
      <c r="J149" s="131"/>
      <c r="K149" s="152"/>
      <c r="L149" s="152"/>
      <c r="M149" s="152"/>
      <c r="N149" s="153"/>
      <c r="O149" s="153"/>
      <c r="P149" s="153"/>
      <c r="Q149" s="153"/>
      <c r="R149" s="153"/>
      <c r="S149" s="153"/>
      <c r="T149" s="153"/>
      <c r="U149" s="153"/>
      <c r="V149" s="156"/>
      <c r="W149" s="131"/>
      <c r="X149" s="131"/>
      <c r="Y149" s="131"/>
      <c r="Z149" s="131"/>
      <c r="AA149" s="131"/>
      <c r="AB149" s="131"/>
      <c r="AC149" s="131"/>
      <c r="AD149" s="131"/>
      <c r="AE149" s="131"/>
      <c r="AF149" s="131"/>
      <c r="AG149" s="131"/>
      <c r="AH149" s="131"/>
      <c r="AI149" s="131"/>
      <c r="AJ149" s="131"/>
      <c r="AK149" s="131"/>
      <c r="AL149" s="131"/>
      <c r="AM149" s="131"/>
      <c r="AN149" s="131"/>
      <c r="AO149" s="131"/>
    </row>
    <row r="150" spans="1:41" ht="12.75" customHeight="1" x14ac:dyDescent="0.25">
      <c r="A150" s="131"/>
      <c r="B150" s="131"/>
      <c r="C150" s="151"/>
      <c r="D150" s="152"/>
      <c r="E150" s="152"/>
      <c r="F150" s="152"/>
      <c r="G150" s="152"/>
      <c r="H150" s="152"/>
      <c r="I150" s="152"/>
      <c r="J150" s="131"/>
      <c r="K150" s="152"/>
      <c r="L150" s="152"/>
      <c r="M150" s="152"/>
      <c r="N150" s="153"/>
      <c r="O150" s="153"/>
      <c r="P150" s="153"/>
      <c r="Q150" s="153"/>
      <c r="R150" s="153"/>
      <c r="S150" s="153"/>
      <c r="T150" s="153"/>
      <c r="U150" s="153"/>
      <c r="V150" s="156"/>
      <c r="W150" s="131"/>
      <c r="X150" s="131"/>
      <c r="Y150" s="131"/>
      <c r="Z150" s="131"/>
      <c r="AA150" s="131"/>
      <c r="AB150" s="131"/>
      <c r="AC150" s="131"/>
      <c r="AD150" s="131"/>
      <c r="AE150" s="131"/>
      <c r="AF150" s="131"/>
      <c r="AG150" s="131"/>
      <c r="AH150" s="131"/>
      <c r="AI150" s="131"/>
      <c r="AJ150" s="131"/>
      <c r="AK150" s="131"/>
      <c r="AL150" s="131"/>
      <c r="AM150" s="131"/>
      <c r="AN150" s="131"/>
      <c r="AO150" s="131"/>
    </row>
    <row r="151" spans="1:41" ht="12.75" customHeight="1" x14ac:dyDescent="0.25">
      <c r="A151" s="131"/>
      <c r="B151" s="131"/>
      <c r="C151" s="151"/>
      <c r="D151" s="152"/>
      <c r="E151" s="152"/>
      <c r="F151" s="152"/>
      <c r="G151" s="152"/>
      <c r="H151" s="152"/>
      <c r="I151" s="152"/>
      <c r="J151" s="131"/>
      <c r="K151" s="152"/>
      <c r="L151" s="152"/>
      <c r="M151" s="152"/>
      <c r="N151" s="153"/>
      <c r="O151" s="153"/>
      <c r="P151" s="153"/>
      <c r="Q151" s="153"/>
      <c r="R151" s="153"/>
      <c r="S151" s="153"/>
      <c r="T151" s="153"/>
      <c r="U151" s="153"/>
      <c r="V151" s="156"/>
      <c r="W151" s="131"/>
      <c r="X151" s="131"/>
      <c r="Y151" s="131"/>
      <c r="Z151" s="131"/>
      <c r="AA151" s="131"/>
      <c r="AB151" s="131"/>
      <c r="AC151" s="131"/>
      <c r="AD151" s="131"/>
      <c r="AE151" s="131"/>
      <c r="AF151" s="131"/>
      <c r="AG151" s="131"/>
      <c r="AH151" s="131"/>
      <c r="AI151" s="131"/>
      <c r="AJ151" s="131"/>
      <c r="AK151" s="131"/>
      <c r="AL151" s="131"/>
      <c r="AM151" s="131"/>
      <c r="AN151" s="131"/>
      <c r="AO151" s="131"/>
    </row>
    <row r="152" spans="1:41" ht="12.75" customHeight="1" x14ac:dyDescent="0.25">
      <c r="A152" s="131"/>
      <c r="B152" s="131"/>
      <c r="C152" s="151"/>
      <c r="D152" s="152"/>
      <c r="E152" s="152"/>
      <c r="F152" s="152"/>
      <c r="G152" s="152"/>
      <c r="H152" s="152"/>
      <c r="I152" s="152"/>
      <c r="J152" s="131"/>
      <c r="K152" s="152"/>
      <c r="L152" s="152"/>
      <c r="M152" s="152"/>
      <c r="N152" s="153"/>
      <c r="O152" s="153"/>
      <c r="P152" s="153"/>
      <c r="Q152" s="153"/>
      <c r="R152" s="153"/>
      <c r="S152" s="153"/>
      <c r="T152" s="153"/>
      <c r="U152" s="153"/>
      <c r="V152" s="156"/>
      <c r="W152" s="131"/>
      <c r="X152" s="131"/>
      <c r="Y152" s="131"/>
      <c r="Z152" s="131"/>
      <c r="AA152" s="131"/>
      <c r="AB152" s="131"/>
      <c r="AC152" s="131"/>
      <c r="AD152" s="131"/>
      <c r="AE152" s="131"/>
      <c r="AF152" s="131"/>
      <c r="AG152" s="131"/>
      <c r="AH152" s="131"/>
      <c r="AI152" s="131"/>
      <c r="AJ152" s="131"/>
      <c r="AK152" s="131"/>
      <c r="AL152" s="131"/>
      <c r="AM152" s="131"/>
      <c r="AN152" s="131"/>
      <c r="AO152" s="131"/>
    </row>
    <row r="153" spans="1:41" ht="12.75" customHeight="1" x14ac:dyDescent="0.25">
      <c r="A153" s="131"/>
      <c r="B153" s="131"/>
      <c r="C153" s="151"/>
      <c r="D153" s="152"/>
      <c r="E153" s="152"/>
      <c r="F153" s="152"/>
      <c r="G153" s="152"/>
      <c r="H153" s="152"/>
      <c r="I153" s="152"/>
      <c r="J153" s="131"/>
      <c r="K153" s="152"/>
      <c r="L153" s="152"/>
      <c r="M153" s="152"/>
      <c r="N153" s="153"/>
      <c r="O153" s="153"/>
      <c r="P153" s="153"/>
      <c r="Q153" s="153"/>
      <c r="R153" s="153"/>
      <c r="S153" s="153"/>
      <c r="T153" s="153"/>
      <c r="U153" s="153"/>
      <c r="V153" s="156"/>
      <c r="W153" s="131"/>
      <c r="X153" s="131"/>
      <c r="Y153" s="131"/>
      <c r="Z153" s="131"/>
      <c r="AA153" s="131"/>
      <c r="AB153" s="131"/>
      <c r="AC153" s="131"/>
      <c r="AD153" s="131"/>
      <c r="AE153" s="131"/>
      <c r="AF153" s="131"/>
      <c r="AG153" s="131"/>
      <c r="AH153" s="131"/>
      <c r="AI153" s="131"/>
      <c r="AJ153" s="131"/>
      <c r="AK153" s="131"/>
      <c r="AL153" s="131"/>
      <c r="AM153" s="131"/>
      <c r="AN153" s="131"/>
      <c r="AO153" s="131"/>
    </row>
    <row r="154" spans="1:41" ht="12.75" customHeight="1" x14ac:dyDescent="0.25">
      <c r="A154" s="131"/>
      <c r="B154" s="131"/>
      <c r="C154" s="151"/>
      <c r="D154" s="152"/>
      <c r="E154" s="152"/>
      <c r="F154" s="152"/>
      <c r="G154" s="152"/>
      <c r="H154" s="152"/>
      <c r="I154" s="152"/>
      <c r="J154" s="131"/>
      <c r="K154" s="152"/>
      <c r="L154" s="152"/>
      <c r="M154" s="152"/>
      <c r="N154" s="153"/>
      <c r="O154" s="153"/>
      <c r="P154" s="153"/>
      <c r="Q154" s="153"/>
      <c r="R154" s="153"/>
      <c r="S154" s="153"/>
      <c r="T154" s="153"/>
      <c r="U154" s="153"/>
      <c r="V154" s="156"/>
      <c r="W154" s="131"/>
      <c r="X154" s="131"/>
      <c r="Y154" s="131"/>
      <c r="Z154" s="131"/>
      <c r="AA154" s="131"/>
      <c r="AB154" s="131"/>
      <c r="AC154" s="131"/>
      <c r="AD154" s="131"/>
      <c r="AE154" s="131"/>
      <c r="AF154" s="131"/>
      <c r="AG154" s="131"/>
      <c r="AH154" s="131"/>
      <c r="AI154" s="131"/>
      <c r="AJ154" s="131"/>
      <c r="AK154" s="131"/>
      <c r="AL154" s="131"/>
      <c r="AM154" s="131"/>
      <c r="AN154" s="131"/>
      <c r="AO154" s="131"/>
    </row>
    <row r="155" spans="1:41" ht="12.75" customHeight="1" x14ac:dyDescent="0.25">
      <c r="A155" s="131"/>
      <c r="B155" s="131"/>
      <c r="C155" s="151"/>
      <c r="D155" s="152"/>
      <c r="E155" s="152"/>
      <c r="F155" s="152"/>
      <c r="G155" s="152"/>
      <c r="H155" s="152"/>
      <c r="I155" s="152"/>
      <c r="J155" s="131"/>
      <c r="K155" s="152"/>
      <c r="L155" s="152"/>
      <c r="M155" s="152"/>
      <c r="N155" s="153"/>
      <c r="O155" s="153"/>
      <c r="P155" s="153"/>
      <c r="Q155" s="153"/>
      <c r="R155" s="153"/>
      <c r="S155" s="153"/>
      <c r="T155" s="153"/>
      <c r="U155" s="153"/>
      <c r="V155" s="156"/>
      <c r="W155" s="131"/>
      <c r="X155" s="131"/>
      <c r="Y155" s="131"/>
      <c r="Z155" s="131"/>
      <c r="AA155" s="131"/>
      <c r="AB155" s="131"/>
      <c r="AC155" s="131"/>
      <c r="AD155" s="131"/>
      <c r="AE155" s="131"/>
      <c r="AF155" s="131"/>
      <c r="AG155" s="131"/>
      <c r="AH155" s="131"/>
      <c r="AI155" s="131"/>
      <c r="AJ155" s="131"/>
      <c r="AK155" s="131"/>
      <c r="AL155" s="131"/>
      <c r="AM155" s="131"/>
      <c r="AN155" s="131"/>
      <c r="AO155" s="131"/>
    </row>
    <row r="156" spans="1:41" ht="12.75" customHeight="1" x14ac:dyDescent="0.25">
      <c r="A156" s="131"/>
      <c r="B156" s="131"/>
      <c r="C156" s="151"/>
      <c r="D156" s="152"/>
      <c r="E156" s="152"/>
      <c r="F156" s="152"/>
      <c r="G156" s="152"/>
      <c r="H156" s="152"/>
      <c r="I156" s="152"/>
      <c r="J156" s="131"/>
      <c r="K156" s="152"/>
      <c r="L156" s="152"/>
      <c r="M156" s="152"/>
      <c r="N156" s="153"/>
      <c r="O156" s="153"/>
      <c r="P156" s="153"/>
      <c r="Q156" s="153"/>
      <c r="R156" s="153"/>
      <c r="S156" s="153"/>
      <c r="T156" s="153"/>
      <c r="U156" s="153"/>
      <c r="V156" s="156"/>
      <c r="W156" s="131"/>
      <c r="X156" s="131"/>
      <c r="Y156" s="131"/>
      <c r="Z156" s="131"/>
      <c r="AA156" s="131"/>
      <c r="AB156" s="131"/>
      <c r="AC156" s="131"/>
      <c r="AD156" s="131"/>
      <c r="AE156" s="131"/>
      <c r="AF156" s="131"/>
      <c r="AG156" s="131"/>
      <c r="AH156" s="131"/>
      <c r="AI156" s="131"/>
      <c r="AJ156" s="131"/>
      <c r="AK156" s="131"/>
      <c r="AL156" s="131"/>
      <c r="AM156" s="131"/>
      <c r="AN156" s="131"/>
      <c r="AO156" s="131"/>
    </row>
    <row r="157" spans="1:41" ht="12.75" customHeight="1" x14ac:dyDescent="0.25">
      <c r="A157" s="131"/>
      <c r="B157" s="131"/>
      <c r="C157" s="151"/>
      <c r="D157" s="152"/>
      <c r="E157" s="152"/>
      <c r="F157" s="152"/>
      <c r="G157" s="152"/>
      <c r="H157" s="152"/>
      <c r="I157" s="152"/>
      <c r="J157" s="131"/>
      <c r="K157" s="152"/>
      <c r="L157" s="152"/>
      <c r="M157" s="152"/>
      <c r="N157" s="153"/>
      <c r="O157" s="153"/>
      <c r="P157" s="153"/>
      <c r="Q157" s="153"/>
      <c r="R157" s="153"/>
      <c r="S157" s="153"/>
      <c r="T157" s="153"/>
      <c r="U157" s="153"/>
      <c r="V157" s="156"/>
      <c r="W157" s="131"/>
      <c r="X157" s="131"/>
      <c r="Y157" s="131"/>
      <c r="Z157" s="131"/>
      <c r="AA157" s="131"/>
      <c r="AB157" s="131"/>
      <c r="AC157" s="131"/>
      <c r="AD157" s="131"/>
      <c r="AE157" s="131"/>
      <c r="AF157" s="131"/>
      <c r="AG157" s="131"/>
      <c r="AH157" s="131"/>
      <c r="AI157" s="131"/>
      <c r="AJ157" s="131"/>
      <c r="AK157" s="131"/>
      <c r="AL157" s="131"/>
      <c r="AM157" s="131"/>
      <c r="AN157" s="131"/>
      <c r="AO157" s="131"/>
    </row>
    <row r="158" spans="1:41" ht="12.75" customHeight="1" x14ac:dyDescent="0.25">
      <c r="A158" s="131"/>
      <c r="B158" s="131"/>
      <c r="C158" s="151"/>
      <c r="D158" s="152"/>
      <c r="E158" s="152"/>
      <c r="F158" s="152"/>
      <c r="G158" s="152"/>
      <c r="H158" s="152"/>
      <c r="I158" s="152"/>
      <c r="J158" s="131"/>
      <c r="K158" s="152"/>
      <c r="L158" s="152"/>
      <c r="M158" s="152"/>
      <c r="N158" s="153"/>
      <c r="O158" s="153"/>
      <c r="P158" s="153"/>
      <c r="Q158" s="153"/>
      <c r="R158" s="153"/>
      <c r="S158" s="153"/>
      <c r="T158" s="153"/>
      <c r="U158" s="153"/>
      <c r="V158" s="156"/>
      <c r="W158" s="131"/>
      <c r="X158" s="131"/>
      <c r="Y158" s="131"/>
      <c r="Z158" s="131"/>
      <c r="AA158" s="131"/>
      <c r="AB158" s="131"/>
      <c r="AC158" s="131"/>
      <c r="AD158" s="131"/>
      <c r="AE158" s="131"/>
      <c r="AF158" s="131"/>
      <c r="AG158" s="131"/>
      <c r="AH158" s="131"/>
      <c r="AI158" s="131"/>
      <c r="AJ158" s="131"/>
      <c r="AK158" s="131"/>
      <c r="AL158" s="131"/>
      <c r="AM158" s="131"/>
      <c r="AN158" s="131"/>
      <c r="AO158" s="131"/>
    </row>
    <row r="159" spans="1:41" ht="12.75" customHeight="1" x14ac:dyDescent="0.25">
      <c r="A159" s="131"/>
      <c r="B159" s="131"/>
      <c r="C159" s="151"/>
      <c r="D159" s="152"/>
      <c r="E159" s="152"/>
      <c r="F159" s="152"/>
      <c r="G159" s="152"/>
      <c r="H159" s="152"/>
      <c r="I159" s="152"/>
      <c r="J159" s="131"/>
      <c r="K159" s="152"/>
      <c r="L159" s="152"/>
      <c r="M159" s="152"/>
      <c r="N159" s="153"/>
      <c r="O159" s="153"/>
      <c r="P159" s="153"/>
      <c r="Q159" s="153"/>
      <c r="R159" s="153"/>
      <c r="S159" s="153"/>
      <c r="T159" s="153"/>
      <c r="U159" s="153"/>
      <c r="V159" s="156"/>
      <c r="W159" s="131"/>
      <c r="X159" s="131"/>
      <c r="Y159" s="131"/>
      <c r="Z159" s="131"/>
      <c r="AA159" s="131"/>
      <c r="AB159" s="131"/>
      <c r="AC159" s="131"/>
      <c r="AD159" s="131"/>
      <c r="AE159" s="131"/>
      <c r="AF159" s="131"/>
      <c r="AG159" s="131"/>
      <c r="AH159" s="131"/>
      <c r="AI159" s="131"/>
      <c r="AJ159" s="131"/>
      <c r="AK159" s="131"/>
      <c r="AL159" s="131"/>
      <c r="AM159" s="131"/>
      <c r="AN159" s="131"/>
      <c r="AO159" s="131"/>
    </row>
    <row r="160" spans="1:41" ht="12.75" customHeight="1" x14ac:dyDescent="0.25">
      <c r="A160" s="131"/>
      <c r="B160" s="131"/>
      <c r="C160" s="151"/>
      <c r="D160" s="152"/>
      <c r="E160" s="152"/>
      <c r="F160" s="152"/>
      <c r="G160" s="152"/>
      <c r="H160" s="152"/>
      <c r="I160" s="152"/>
      <c r="J160" s="131"/>
      <c r="K160" s="152"/>
      <c r="L160" s="152"/>
      <c r="M160" s="152"/>
      <c r="N160" s="153"/>
      <c r="O160" s="153"/>
      <c r="P160" s="153"/>
      <c r="Q160" s="153"/>
      <c r="R160" s="153"/>
      <c r="S160" s="153"/>
      <c r="T160" s="153"/>
      <c r="U160" s="153"/>
      <c r="V160" s="156"/>
      <c r="W160" s="131"/>
      <c r="X160" s="131"/>
      <c r="Y160" s="131"/>
      <c r="Z160" s="131"/>
      <c r="AA160" s="131"/>
      <c r="AB160" s="131"/>
      <c r="AC160" s="131"/>
      <c r="AD160" s="131"/>
      <c r="AE160" s="131"/>
      <c r="AF160" s="131"/>
      <c r="AG160" s="131"/>
      <c r="AH160" s="131"/>
      <c r="AI160" s="131"/>
      <c r="AJ160" s="131"/>
      <c r="AK160" s="131"/>
      <c r="AL160" s="131"/>
      <c r="AM160" s="131"/>
      <c r="AN160" s="131"/>
      <c r="AO160" s="131"/>
    </row>
    <row r="161" spans="1:41" ht="12.75" customHeight="1" x14ac:dyDescent="0.25">
      <c r="A161" s="131"/>
      <c r="B161" s="131"/>
      <c r="C161" s="151"/>
      <c r="D161" s="152"/>
      <c r="E161" s="152"/>
      <c r="F161" s="152"/>
      <c r="G161" s="152"/>
      <c r="H161" s="152"/>
      <c r="I161" s="152"/>
      <c r="J161" s="131"/>
      <c r="K161" s="152"/>
      <c r="L161" s="152"/>
      <c r="M161" s="152"/>
      <c r="N161" s="153"/>
      <c r="O161" s="153"/>
      <c r="P161" s="153"/>
      <c r="Q161" s="153"/>
      <c r="R161" s="153"/>
      <c r="S161" s="153"/>
      <c r="T161" s="153"/>
      <c r="U161" s="153"/>
      <c r="V161" s="156"/>
      <c r="W161" s="131"/>
      <c r="X161" s="131"/>
      <c r="Y161" s="131"/>
      <c r="Z161" s="131"/>
      <c r="AA161" s="131"/>
      <c r="AB161" s="131"/>
      <c r="AC161" s="131"/>
      <c r="AD161" s="131"/>
      <c r="AE161" s="131"/>
      <c r="AF161" s="131"/>
      <c r="AG161" s="131"/>
      <c r="AH161" s="131"/>
      <c r="AI161" s="131"/>
      <c r="AJ161" s="131"/>
      <c r="AK161" s="131"/>
      <c r="AL161" s="131"/>
      <c r="AM161" s="131"/>
      <c r="AN161" s="131"/>
      <c r="AO161" s="131"/>
    </row>
    <row r="162" spans="1:41" ht="12.75" customHeight="1" x14ac:dyDescent="0.25">
      <c r="A162" s="131"/>
      <c r="B162" s="131"/>
      <c r="C162" s="151"/>
      <c r="D162" s="152"/>
      <c r="E162" s="152"/>
      <c r="F162" s="152"/>
      <c r="G162" s="152"/>
      <c r="H162" s="152"/>
      <c r="I162" s="152"/>
      <c r="J162" s="131"/>
      <c r="K162" s="152"/>
      <c r="L162" s="152"/>
      <c r="M162" s="152"/>
      <c r="N162" s="153"/>
      <c r="O162" s="153"/>
      <c r="P162" s="153"/>
      <c r="Q162" s="153"/>
      <c r="R162" s="153"/>
      <c r="S162" s="153"/>
      <c r="T162" s="153"/>
      <c r="U162" s="153"/>
      <c r="V162" s="156"/>
      <c r="W162" s="131"/>
      <c r="X162" s="131"/>
      <c r="Y162" s="131"/>
      <c r="Z162" s="131"/>
      <c r="AA162" s="131"/>
      <c r="AB162" s="131"/>
      <c r="AC162" s="131"/>
      <c r="AD162" s="131"/>
      <c r="AE162" s="131"/>
      <c r="AF162" s="131"/>
      <c r="AG162" s="131"/>
      <c r="AH162" s="131"/>
      <c r="AI162" s="131"/>
      <c r="AJ162" s="131"/>
      <c r="AK162" s="131"/>
      <c r="AL162" s="131"/>
      <c r="AM162" s="131"/>
      <c r="AN162" s="131"/>
      <c r="AO162" s="131"/>
    </row>
    <row r="163" spans="1:41" ht="12.75" customHeight="1" x14ac:dyDescent="0.25">
      <c r="A163" s="131"/>
      <c r="B163" s="131"/>
      <c r="C163" s="151"/>
      <c r="D163" s="152"/>
      <c r="E163" s="152"/>
      <c r="F163" s="152"/>
      <c r="G163" s="152"/>
      <c r="H163" s="152"/>
      <c r="I163" s="152"/>
      <c r="J163" s="131"/>
      <c r="K163" s="152"/>
      <c r="L163" s="152"/>
      <c r="M163" s="152"/>
      <c r="N163" s="153"/>
      <c r="O163" s="153"/>
      <c r="P163" s="153"/>
      <c r="Q163" s="153"/>
      <c r="R163" s="153"/>
      <c r="S163" s="153"/>
      <c r="T163" s="153"/>
      <c r="U163" s="153"/>
      <c r="V163" s="156"/>
      <c r="W163" s="131"/>
      <c r="X163" s="131"/>
      <c r="Y163" s="131"/>
      <c r="Z163" s="131"/>
      <c r="AA163" s="131"/>
      <c r="AB163" s="131"/>
      <c r="AC163" s="131"/>
      <c r="AD163" s="131"/>
      <c r="AE163" s="131"/>
      <c r="AF163" s="131"/>
      <c r="AG163" s="131"/>
      <c r="AH163" s="131"/>
      <c r="AI163" s="131"/>
      <c r="AJ163" s="131"/>
      <c r="AK163" s="131"/>
      <c r="AL163" s="131"/>
      <c r="AM163" s="131"/>
      <c r="AN163" s="131"/>
      <c r="AO163" s="131"/>
    </row>
    <row r="164" spans="1:41" ht="12.75" customHeight="1" x14ac:dyDescent="0.25">
      <c r="A164" s="131"/>
      <c r="B164" s="131"/>
      <c r="C164" s="151"/>
      <c r="D164" s="152"/>
      <c r="E164" s="152"/>
      <c r="F164" s="152"/>
      <c r="G164" s="152"/>
      <c r="H164" s="152"/>
      <c r="I164" s="152"/>
      <c r="J164" s="131"/>
      <c r="K164" s="152"/>
      <c r="L164" s="152"/>
      <c r="M164" s="152"/>
      <c r="N164" s="153"/>
      <c r="O164" s="153"/>
      <c r="P164" s="153"/>
      <c r="Q164" s="153"/>
      <c r="R164" s="153"/>
      <c r="S164" s="153"/>
      <c r="T164" s="153"/>
      <c r="U164" s="153"/>
      <c r="V164" s="156"/>
      <c r="W164" s="131"/>
      <c r="X164" s="131"/>
      <c r="Y164" s="131"/>
      <c r="Z164" s="131"/>
      <c r="AA164" s="131"/>
      <c r="AB164" s="131"/>
      <c r="AC164" s="131"/>
      <c r="AD164" s="131"/>
      <c r="AE164" s="131"/>
      <c r="AF164" s="131"/>
      <c r="AG164" s="131"/>
      <c r="AH164" s="131"/>
      <c r="AI164" s="131"/>
      <c r="AJ164" s="131"/>
      <c r="AK164" s="131"/>
      <c r="AL164" s="131"/>
      <c r="AM164" s="131"/>
      <c r="AN164" s="131"/>
      <c r="AO164" s="131"/>
    </row>
    <row r="165" spans="1:41" ht="12.75" customHeight="1" x14ac:dyDescent="0.25">
      <c r="A165" s="131"/>
      <c r="B165" s="131"/>
      <c r="C165" s="151"/>
      <c r="D165" s="152"/>
      <c r="E165" s="152"/>
      <c r="F165" s="152"/>
      <c r="G165" s="152"/>
      <c r="H165" s="152"/>
      <c r="I165" s="152"/>
      <c r="J165" s="131"/>
      <c r="K165" s="152"/>
      <c r="L165" s="152"/>
      <c r="M165" s="152"/>
      <c r="N165" s="153"/>
      <c r="O165" s="153"/>
      <c r="P165" s="153"/>
      <c r="Q165" s="153"/>
      <c r="R165" s="153"/>
      <c r="S165" s="153"/>
      <c r="T165" s="153"/>
      <c r="U165" s="153"/>
      <c r="V165" s="156"/>
      <c r="W165" s="131"/>
      <c r="X165" s="131"/>
      <c r="Y165" s="131"/>
      <c r="Z165" s="131"/>
      <c r="AA165" s="131"/>
      <c r="AB165" s="131"/>
      <c r="AC165" s="131"/>
      <c r="AD165" s="131"/>
      <c r="AE165" s="131"/>
      <c r="AF165" s="131"/>
      <c r="AG165" s="131"/>
      <c r="AH165" s="131"/>
      <c r="AI165" s="131"/>
      <c r="AJ165" s="131"/>
      <c r="AK165" s="131"/>
      <c r="AL165" s="131"/>
      <c r="AM165" s="131"/>
      <c r="AN165" s="131"/>
      <c r="AO165" s="131"/>
    </row>
    <row r="166" spans="1:41" ht="12.75" customHeight="1" x14ac:dyDescent="0.25">
      <c r="A166" s="131"/>
      <c r="B166" s="131"/>
      <c r="C166" s="151"/>
      <c r="D166" s="152"/>
      <c r="E166" s="152"/>
      <c r="F166" s="152"/>
      <c r="G166" s="152"/>
      <c r="H166" s="152"/>
      <c r="I166" s="152"/>
      <c r="J166" s="131"/>
      <c r="K166" s="152"/>
      <c r="L166" s="152"/>
      <c r="M166" s="152"/>
      <c r="N166" s="153"/>
      <c r="O166" s="153"/>
      <c r="P166" s="153"/>
      <c r="Q166" s="153"/>
      <c r="R166" s="153"/>
      <c r="S166" s="153"/>
      <c r="T166" s="153"/>
      <c r="U166" s="153"/>
      <c r="V166" s="156"/>
      <c r="W166" s="131"/>
      <c r="X166" s="131"/>
      <c r="Y166" s="131"/>
      <c r="Z166" s="131"/>
      <c r="AA166" s="131"/>
      <c r="AB166" s="131"/>
      <c r="AC166" s="131"/>
      <c r="AD166" s="131"/>
      <c r="AE166" s="131"/>
      <c r="AF166" s="131"/>
      <c r="AG166" s="131"/>
      <c r="AH166" s="131"/>
      <c r="AI166" s="131"/>
      <c r="AJ166" s="131"/>
      <c r="AK166" s="131"/>
      <c r="AL166" s="131"/>
      <c r="AM166" s="131"/>
      <c r="AN166" s="131"/>
      <c r="AO166" s="131"/>
    </row>
    <row r="167" spans="1:41" ht="12.75" customHeight="1" x14ac:dyDescent="0.25">
      <c r="A167" s="131"/>
      <c r="B167" s="131"/>
      <c r="C167" s="151"/>
      <c r="D167" s="152"/>
      <c r="E167" s="152"/>
      <c r="F167" s="152"/>
      <c r="G167" s="152"/>
      <c r="H167" s="152"/>
      <c r="I167" s="152"/>
      <c r="J167" s="131"/>
      <c r="K167" s="152"/>
      <c r="L167" s="152"/>
      <c r="M167" s="152"/>
      <c r="N167" s="153"/>
      <c r="O167" s="153"/>
      <c r="P167" s="153"/>
      <c r="Q167" s="153"/>
      <c r="R167" s="153"/>
      <c r="S167" s="153"/>
      <c r="T167" s="153"/>
      <c r="U167" s="153"/>
      <c r="V167" s="156"/>
      <c r="W167" s="131"/>
      <c r="X167" s="131"/>
      <c r="Y167" s="131"/>
      <c r="Z167" s="131"/>
      <c r="AA167" s="131"/>
      <c r="AB167" s="131"/>
      <c r="AC167" s="131"/>
      <c r="AD167" s="131"/>
      <c r="AE167" s="131"/>
      <c r="AF167" s="131"/>
      <c r="AG167" s="131"/>
      <c r="AH167" s="131"/>
      <c r="AI167" s="131"/>
      <c r="AJ167" s="131"/>
      <c r="AK167" s="131"/>
      <c r="AL167" s="131"/>
      <c r="AM167" s="131"/>
      <c r="AN167" s="131"/>
      <c r="AO167" s="131"/>
    </row>
    <row r="168" spans="1:41" ht="12.75" customHeight="1" x14ac:dyDescent="0.25">
      <c r="A168" s="131"/>
      <c r="B168" s="131"/>
      <c r="C168" s="151"/>
      <c r="D168" s="152"/>
      <c r="E168" s="152"/>
      <c r="F168" s="152"/>
      <c r="G168" s="152"/>
      <c r="H168" s="152"/>
      <c r="I168" s="152"/>
      <c r="J168" s="131"/>
      <c r="K168" s="152"/>
      <c r="L168" s="152"/>
      <c r="M168" s="152"/>
      <c r="N168" s="153"/>
      <c r="O168" s="153"/>
      <c r="P168" s="153"/>
      <c r="Q168" s="153"/>
      <c r="R168" s="153"/>
      <c r="S168" s="153"/>
      <c r="T168" s="153"/>
      <c r="U168" s="153"/>
      <c r="V168" s="156"/>
      <c r="W168" s="131"/>
      <c r="X168" s="131"/>
      <c r="Y168" s="131"/>
      <c r="Z168" s="131"/>
      <c r="AA168" s="131"/>
      <c r="AB168" s="131"/>
      <c r="AC168" s="131"/>
      <c r="AD168" s="131"/>
      <c r="AE168" s="131"/>
      <c r="AF168" s="131"/>
      <c r="AG168" s="131"/>
      <c r="AH168" s="131"/>
      <c r="AI168" s="131"/>
      <c r="AJ168" s="131"/>
      <c r="AK168" s="131"/>
      <c r="AL168" s="131"/>
      <c r="AM168" s="131"/>
      <c r="AN168" s="131"/>
      <c r="AO168" s="131"/>
    </row>
    <row r="169" spans="1:41" ht="12.75" customHeight="1" x14ac:dyDescent="0.25">
      <c r="A169" s="131"/>
      <c r="B169" s="131"/>
      <c r="C169" s="151"/>
      <c r="D169" s="152"/>
      <c r="E169" s="152"/>
      <c r="F169" s="152"/>
      <c r="G169" s="152"/>
      <c r="H169" s="152"/>
      <c r="I169" s="152"/>
      <c r="J169" s="131"/>
      <c r="K169" s="152"/>
      <c r="L169" s="152"/>
      <c r="M169" s="152"/>
      <c r="N169" s="153"/>
      <c r="O169" s="153"/>
      <c r="P169" s="153"/>
      <c r="Q169" s="153"/>
      <c r="R169" s="153"/>
      <c r="S169" s="153"/>
      <c r="T169" s="153"/>
      <c r="U169" s="153"/>
      <c r="V169" s="156"/>
      <c r="W169" s="131"/>
      <c r="X169" s="131"/>
      <c r="Y169" s="131"/>
      <c r="Z169" s="131"/>
      <c r="AA169" s="131"/>
      <c r="AB169" s="131"/>
      <c r="AC169" s="131"/>
      <c r="AD169" s="131"/>
      <c r="AE169" s="131"/>
      <c r="AF169" s="131"/>
      <c r="AG169" s="131"/>
      <c r="AH169" s="131"/>
      <c r="AI169" s="131"/>
      <c r="AJ169" s="131"/>
      <c r="AK169" s="131"/>
      <c r="AL169" s="131"/>
      <c r="AM169" s="131"/>
      <c r="AN169" s="131"/>
      <c r="AO169" s="131"/>
    </row>
    <row r="170" spans="1:41" ht="12.75" customHeight="1" x14ac:dyDescent="0.25">
      <c r="A170" s="131"/>
      <c r="B170" s="131"/>
      <c r="C170" s="151"/>
      <c r="D170" s="152"/>
      <c r="E170" s="152"/>
      <c r="F170" s="152"/>
      <c r="G170" s="152"/>
      <c r="H170" s="152"/>
      <c r="I170" s="152"/>
      <c r="J170" s="131"/>
      <c r="K170" s="152"/>
      <c r="L170" s="152"/>
      <c r="M170" s="152"/>
      <c r="N170" s="153"/>
      <c r="O170" s="153"/>
      <c r="P170" s="153"/>
      <c r="Q170" s="153"/>
      <c r="R170" s="153"/>
      <c r="S170" s="153"/>
      <c r="T170" s="153"/>
      <c r="U170" s="153"/>
      <c r="V170" s="156"/>
      <c r="W170" s="131"/>
      <c r="X170" s="131"/>
      <c r="Y170" s="131"/>
      <c r="Z170" s="131"/>
      <c r="AA170" s="131"/>
      <c r="AB170" s="131"/>
      <c r="AC170" s="131"/>
      <c r="AD170" s="131"/>
      <c r="AE170" s="131"/>
      <c r="AF170" s="131"/>
      <c r="AG170" s="131"/>
      <c r="AH170" s="131"/>
      <c r="AI170" s="131"/>
      <c r="AJ170" s="131"/>
      <c r="AK170" s="131"/>
      <c r="AL170" s="131"/>
      <c r="AM170" s="131"/>
      <c r="AN170" s="131"/>
      <c r="AO170" s="131"/>
    </row>
    <row r="171" spans="1:41" ht="12.75" customHeight="1" x14ac:dyDescent="0.25">
      <c r="A171" s="131"/>
      <c r="B171" s="131"/>
      <c r="C171" s="151"/>
      <c r="D171" s="152"/>
      <c r="E171" s="152"/>
      <c r="F171" s="152"/>
      <c r="G171" s="152"/>
      <c r="H171" s="152"/>
      <c r="I171" s="152"/>
      <c r="J171" s="131"/>
      <c r="K171" s="152"/>
      <c r="L171" s="152"/>
      <c r="M171" s="152"/>
      <c r="N171" s="153"/>
      <c r="O171" s="153"/>
      <c r="P171" s="153"/>
      <c r="Q171" s="153"/>
      <c r="R171" s="153"/>
      <c r="S171" s="153"/>
      <c r="T171" s="153"/>
      <c r="U171" s="153"/>
      <c r="V171" s="156"/>
      <c r="W171" s="131"/>
      <c r="X171" s="131"/>
      <c r="Y171" s="131"/>
      <c r="Z171" s="131"/>
      <c r="AA171" s="131"/>
      <c r="AB171" s="131"/>
      <c r="AC171" s="131"/>
      <c r="AD171" s="131"/>
      <c r="AE171" s="131"/>
      <c r="AF171" s="131"/>
      <c r="AG171" s="131"/>
      <c r="AH171" s="131"/>
      <c r="AI171" s="131"/>
      <c r="AJ171" s="131"/>
      <c r="AK171" s="131"/>
      <c r="AL171" s="131"/>
      <c r="AM171" s="131"/>
      <c r="AN171" s="131"/>
      <c r="AO171" s="131"/>
    </row>
    <row r="172" spans="1:41" ht="12.75" customHeight="1" x14ac:dyDescent="0.25">
      <c r="A172" s="131"/>
      <c r="B172" s="131"/>
      <c r="C172" s="151"/>
      <c r="D172" s="152"/>
      <c r="E172" s="152"/>
      <c r="F172" s="152"/>
      <c r="G172" s="152"/>
      <c r="H172" s="152"/>
      <c r="I172" s="152"/>
      <c r="J172" s="131"/>
      <c r="K172" s="152"/>
      <c r="L172" s="152"/>
      <c r="M172" s="152"/>
      <c r="N172" s="153"/>
      <c r="O172" s="153"/>
      <c r="P172" s="153"/>
      <c r="Q172" s="153"/>
      <c r="R172" s="153"/>
      <c r="S172" s="153"/>
      <c r="T172" s="153"/>
      <c r="U172" s="153"/>
      <c r="V172" s="156"/>
      <c r="W172" s="131"/>
      <c r="X172" s="131"/>
      <c r="Y172" s="131"/>
      <c r="Z172" s="131"/>
      <c r="AA172" s="131"/>
      <c r="AB172" s="131"/>
      <c r="AC172" s="131"/>
      <c r="AD172" s="131"/>
      <c r="AE172" s="131"/>
      <c r="AF172" s="131"/>
      <c r="AG172" s="131"/>
      <c r="AH172" s="131"/>
      <c r="AI172" s="131"/>
      <c r="AJ172" s="131"/>
      <c r="AK172" s="131"/>
      <c r="AL172" s="131"/>
      <c r="AM172" s="131"/>
      <c r="AN172" s="131"/>
      <c r="AO172" s="131"/>
    </row>
    <row r="173" spans="1:41" ht="12.75" customHeight="1" x14ac:dyDescent="0.25">
      <c r="A173" s="131"/>
      <c r="B173" s="131"/>
      <c r="C173" s="151"/>
      <c r="D173" s="152"/>
      <c r="E173" s="152"/>
      <c r="F173" s="152"/>
      <c r="G173" s="152"/>
      <c r="H173" s="152"/>
      <c r="I173" s="152"/>
      <c r="J173" s="131"/>
      <c r="K173" s="152"/>
      <c r="L173" s="152"/>
      <c r="M173" s="152"/>
      <c r="N173" s="153"/>
      <c r="O173" s="153"/>
      <c r="P173" s="153"/>
      <c r="Q173" s="153"/>
      <c r="R173" s="153"/>
      <c r="S173" s="153"/>
      <c r="T173" s="153"/>
      <c r="U173" s="153"/>
      <c r="V173" s="156"/>
      <c r="W173" s="131"/>
      <c r="X173" s="131"/>
      <c r="Y173" s="131"/>
      <c r="Z173" s="131"/>
      <c r="AA173" s="131"/>
      <c r="AB173" s="131"/>
      <c r="AC173" s="131"/>
      <c r="AD173" s="131"/>
      <c r="AE173" s="131"/>
      <c r="AF173" s="131"/>
      <c r="AG173" s="131"/>
      <c r="AH173" s="131"/>
      <c r="AI173" s="131"/>
      <c r="AJ173" s="131"/>
      <c r="AK173" s="131"/>
      <c r="AL173" s="131"/>
      <c r="AM173" s="131"/>
      <c r="AN173" s="131"/>
      <c r="AO173" s="131"/>
    </row>
    <row r="174" spans="1:41" ht="12.75" customHeight="1" x14ac:dyDescent="0.25">
      <c r="A174" s="131"/>
      <c r="B174" s="131"/>
      <c r="C174" s="151"/>
      <c r="D174" s="152"/>
      <c r="E174" s="152"/>
      <c r="F174" s="152"/>
      <c r="G174" s="152"/>
      <c r="H174" s="152"/>
      <c r="I174" s="152"/>
      <c r="J174" s="131"/>
      <c r="K174" s="152"/>
      <c r="L174" s="152"/>
      <c r="M174" s="152"/>
      <c r="N174" s="153"/>
      <c r="O174" s="153"/>
      <c r="P174" s="153"/>
      <c r="Q174" s="153"/>
      <c r="R174" s="153"/>
      <c r="S174" s="153"/>
      <c r="T174" s="153"/>
      <c r="U174" s="153"/>
      <c r="V174" s="156"/>
      <c r="W174" s="131"/>
      <c r="X174" s="131"/>
      <c r="Y174" s="131"/>
      <c r="Z174" s="131"/>
      <c r="AA174" s="131"/>
      <c r="AB174" s="131"/>
      <c r="AC174" s="131"/>
      <c r="AD174" s="131"/>
      <c r="AE174" s="131"/>
      <c r="AF174" s="131"/>
      <c r="AG174" s="131"/>
      <c r="AH174" s="131"/>
      <c r="AI174" s="131"/>
      <c r="AJ174" s="131"/>
      <c r="AK174" s="131"/>
      <c r="AL174" s="131"/>
      <c r="AM174" s="131"/>
      <c r="AN174" s="131"/>
      <c r="AO174" s="131"/>
    </row>
    <row r="175" spans="1:41" ht="12.75" customHeight="1" x14ac:dyDescent="0.25">
      <c r="A175" s="131"/>
      <c r="B175" s="131"/>
      <c r="C175" s="151"/>
      <c r="D175" s="152"/>
      <c r="E175" s="152"/>
      <c r="F175" s="152"/>
      <c r="G175" s="152"/>
      <c r="H175" s="152"/>
      <c r="I175" s="152"/>
      <c r="J175" s="131"/>
      <c r="K175" s="152"/>
      <c r="L175" s="152"/>
      <c r="M175" s="152"/>
      <c r="N175" s="153"/>
      <c r="O175" s="153"/>
      <c r="P175" s="153"/>
      <c r="Q175" s="153"/>
      <c r="R175" s="153"/>
      <c r="S175" s="153"/>
      <c r="T175" s="153"/>
      <c r="U175" s="153"/>
      <c r="V175" s="156"/>
      <c r="W175" s="131"/>
      <c r="X175" s="131"/>
      <c r="Y175" s="131"/>
      <c r="Z175" s="131"/>
      <c r="AA175" s="131"/>
      <c r="AB175" s="131"/>
      <c r="AC175" s="131"/>
      <c r="AD175" s="131"/>
      <c r="AE175" s="131"/>
      <c r="AF175" s="131"/>
      <c r="AG175" s="131"/>
      <c r="AH175" s="131"/>
      <c r="AI175" s="131"/>
      <c r="AJ175" s="131"/>
      <c r="AK175" s="131"/>
      <c r="AL175" s="131"/>
      <c r="AM175" s="131"/>
      <c r="AN175" s="131"/>
      <c r="AO175" s="131"/>
    </row>
    <row r="176" spans="1:41" ht="12.75" customHeight="1" x14ac:dyDescent="0.25">
      <c r="A176" s="131"/>
      <c r="B176" s="131"/>
      <c r="C176" s="151"/>
      <c r="D176" s="152"/>
      <c r="E176" s="152"/>
      <c r="F176" s="152"/>
      <c r="G176" s="152"/>
      <c r="H176" s="152"/>
      <c r="I176" s="152"/>
      <c r="J176" s="131"/>
      <c r="K176" s="152"/>
      <c r="L176" s="152"/>
      <c r="M176" s="152"/>
      <c r="N176" s="153"/>
      <c r="O176" s="153"/>
      <c r="P176" s="153"/>
      <c r="Q176" s="153"/>
      <c r="R176" s="153"/>
      <c r="S176" s="153"/>
      <c r="T176" s="153"/>
      <c r="U176" s="153"/>
      <c r="V176" s="156"/>
      <c r="W176" s="131"/>
      <c r="X176" s="131"/>
      <c r="Y176" s="131"/>
      <c r="Z176" s="131"/>
      <c r="AA176" s="131"/>
      <c r="AB176" s="131"/>
      <c r="AC176" s="131"/>
      <c r="AD176" s="131"/>
      <c r="AE176" s="131"/>
      <c r="AF176" s="131"/>
      <c r="AG176" s="131"/>
      <c r="AH176" s="131"/>
      <c r="AI176" s="131"/>
      <c r="AJ176" s="131"/>
      <c r="AK176" s="131"/>
      <c r="AL176" s="131"/>
      <c r="AM176" s="131"/>
      <c r="AN176" s="131"/>
      <c r="AO176" s="131"/>
    </row>
    <row r="177" spans="1:41" ht="12.75" customHeight="1" x14ac:dyDescent="0.25">
      <c r="A177" s="131"/>
      <c r="B177" s="131"/>
      <c r="C177" s="151"/>
      <c r="D177" s="152"/>
      <c r="E177" s="152"/>
      <c r="F177" s="152"/>
      <c r="G177" s="152"/>
      <c r="H177" s="152"/>
      <c r="I177" s="152"/>
      <c r="J177" s="131"/>
      <c r="K177" s="152"/>
      <c r="L177" s="152"/>
      <c r="M177" s="152"/>
      <c r="N177" s="153"/>
      <c r="O177" s="153"/>
      <c r="P177" s="153"/>
      <c r="Q177" s="153"/>
      <c r="R177" s="153"/>
      <c r="S177" s="153"/>
      <c r="T177" s="153"/>
      <c r="U177" s="153"/>
      <c r="V177" s="156"/>
      <c r="W177" s="131"/>
      <c r="X177" s="131"/>
      <c r="Y177" s="131"/>
      <c r="Z177" s="131"/>
      <c r="AA177" s="131"/>
      <c r="AB177" s="131"/>
      <c r="AC177" s="131"/>
      <c r="AD177" s="131"/>
      <c r="AE177" s="131"/>
      <c r="AF177" s="131"/>
      <c r="AG177" s="131"/>
      <c r="AH177" s="131"/>
      <c r="AI177" s="131"/>
      <c r="AJ177" s="131"/>
      <c r="AK177" s="131"/>
      <c r="AL177" s="131"/>
      <c r="AM177" s="131"/>
      <c r="AN177" s="131"/>
      <c r="AO177" s="131"/>
    </row>
    <row r="178" spans="1:41" ht="12.75" customHeight="1" x14ac:dyDescent="0.25">
      <c r="A178" s="131"/>
      <c r="B178" s="131"/>
      <c r="C178" s="151"/>
      <c r="D178" s="152"/>
      <c r="E178" s="152"/>
      <c r="F178" s="152"/>
      <c r="G178" s="152"/>
      <c r="H178" s="152"/>
      <c r="I178" s="152"/>
      <c r="J178" s="131"/>
      <c r="K178" s="152"/>
      <c r="L178" s="152"/>
      <c r="M178" s="152"/>
      <c r="N178" s="153"/>
      <c r="O178" s="153"/>
      <c r="P178" s="153"/>
      <c r="Q178" s="153"/>
      <c r="R178" s="153"/>
      <c r="S178" s="153"/>
      <c r="T178" s="153"/>
      <c r="U178" s="153"/>
      <c r="V178" s="156"/>
      <c r="W178" s="131"/>
      <c r="X178" s="131"/>
      <c r="Y178" s="131"/>
      <c r="Z178" s="131"/>
      <c r="AA178" s="131"/>
      <c r="AB178" s="131"/>
      <c r="AC178" s="131"/>
      <c r="AD178" s="131"/>
      <c r="AE178" s="131"/>
      <c r="AF178" s="131"/>
      <c r="AG178" s="131"/>
      <c r="AH178" s="131"/>
      <c r="AI178" s="131"/>
      <c r="AJ178" s="131"/>
      <c r="AK178" s="131"/>
      <c r="AL178" s="131"/>
      <c r="AM178" s="131"/>
      <c r="AN178" s="131"/>
      <c r="AO178" s="131"/>
    </row>
    <row r="179" spans="1:41" ht="12.75" customHeight="1" x14ac:dyDescent="0.25">
      <c r="A179" s="131"/>
      <c r="B179" s="131"/>
      <c r="C179" s="151"/>
      <c r="D179" s="152"/>
      <c r="E179" s="152"/>
      <c r="F179" s="152"/>
      <c r="G179" s="152"/>
      <c r="H179" s="152"/>
      <c r="I179" s="152"/>
      <c r="J179" s="131"/>
      <c r="K179" s="152"/>
      <c r="L179" s="152"/>
      <c r="M179" s="152"/>
      <c r="N179" s="153"/>
      <c r="O179" s="153"/>
      <c r="P179" s="153"/>
      <c r="Q179" s="153"/>
      <c r="R179" s="153"/>
      <c r="S179" s="153"/>
      <c r="T179" s="153"/>
      <c r="U179" s="153"/>
      <c r="V179" s="156"/>
      <c r="W179" s="131"/>
      <c r="X179" s="131"/>
      <c r="Y179" s="131"/>
      <c r="Z179" s="131"/>
      <c r="AA179" s="131"/>
      <c r="AB179" s="131"/>
      <c r="AC179" s="131"/>
      <c r="AD179" s="131"/>
      <c r="AE179" s="131"/>
      <c r="AF179" s="131"/>
      <c r="AG179" s="131"/>
      <c r="AH179" s="131"/>
      <c r="AI179" s="131"/>
      <c r="AJ179" s="131"/>
      <c r="AK179" s="131"/>
      <c r="AL179" s="131"/>
      <c r="AM179" s="131"/>
      <c r="AN179" s="131"/>
      <c r="AO179" s="131"/>
    </row>
    <row r="180" spans="1:41" ht="12.75" customHeight="1" x14ac:dyDescent="0.25">
      <c r="A180" s="131"/>
      <c r="B180" s="131"/>
      <c r="C180" s="151"/>
      <c r="D180" s="152"/>
      <c r="E180" s="152"/>
      <c r="F180" s="152"/>
      <c r="G180" s="152"/>
      <c r="H180" s="152"/>
      <c r="I180" s="152"/>
      <c r="J180" s="131"/>
      <c r="K180" s="152"/>
      <c r="L180" s="152"/>
      <c r="M180" s="152"/>
      <c r="N180" s="153"/>
      <c r="O180" s="153"/>
      <c r="P180" s="153"/>
      <c r="Q180" s="153"/>
      <c r="R180" s="153"/>
      <c r="S180" s="153"/>
      <c r="T180" s="153"/>
      <c r="U180" s="153"/>
      <c r="V180" s="156"/>
      <c r="W180" s="131"/>
      <c r="X180" s="131"/>
      <c r="Y180" s="131"/>
      <c r="Z180" s="131"/>
      <c r="AA180" s="131"/>
      <c r="AB180" s="131"/>
      <c r="AC180" s="131"/>
      <c r="AD180" s="131"/>
      <c r="AE180" s="131"/>
      <c r="AF180" s="131"/>
      <c r="AG180" s="131"/>
      <c r="AH180" s="131"/>
      <c r="AI180" s="131"/>
      <c r="AJ180" s="131"/>
      <c r="AK180" s="131"/>
      <c r="AL180" s="131"/>
      <c r="AM180" s="131"/>
      <c r="AN180" s="131"/>
      <c r="AO180" s="131"/>
    </row>
    <row r="181" spans="1:41" ht="12.75" customHeight="1" x14ac:dyDescent="0.25">
      <c r="A181" s="131"/>
      <c r="B181" s="131"/>
      <c r="C181" s="151"/>
      <c r="D181" s="152"/>
      <c r="E181" s="152"/>
      <c r="F181" s="152"/>
      <c r="G181" s="152"/>
      <c r="H181" s="152"/>
      <c r="I181" s="152"/>
      <c r="J181" s="131"/>
      <c r="K181" s="152"/>
      <c r="L181" s="152"/>
      <c r="M181" s="152"/>
      <c r="N181" s="153"/>
      <c r="O181" s="153"/>
      <c r="P181" s="153"/>
      <c r="Q181" s="153"/>
      <c r="R181" s="153"/>
      <c r="S181" s="153"/>
      <c r="T181" s="153"/>
      <c r="U181" s="153"/>
      <c r="V181" s="156"/>
      <c r="W181" s="131"/>
      <c r="X181" s="131"/>
      <c r="Y181" s="131"/>
      <c r="Z181" s="131"/>
      <c r="AA181" s="131"/>
      <c r="AB181" s="131"/>
      <c r="AC181" s="131"/>
      <c r="AD181" s="131"/>
      <c r="AE181" s="131"/>
      <c r="AF181" s="131"/>
      <c r="AG181" s="131"/>
      <c r="AH181" s="131"/>
      <c r="AI181" s="131"/>
      <c r="AJ181" s="131"/>
      <c r="AK181" s="131"/>
      <c r="AL181" s="131"/>
      <c r="AM181" s="131"/>
      <c r="AN181" s="131"/>
      <c r="AO181" s="131"/>
    </row>
    <row r="182" spans="1:41" ht="12.75" customHeight="1" x14ac:dyDescent="0.25">
      <c r="A182" s="131"/>
      <c r="B182" s="131"/>
      <c r="C182" s="151"/>
      <c r="D182" s="152"/>
      <c r="E182" s="152"/>
      <c r="F182" s="152"/>
      <c r="G182" s="152"/>
      <c r="H182" s="152"/>
      <c r="I182" s="152"/>
      <c r="J182" s="131"/>
      <c r="K182" s="152"/>
      <c r="L182" s="152"/>
      <c r="M182" s="152"/>
      <c r="N182" s="153"/>
      <c r="O182" s="153"/>
      <c r="P182" s="153"/>
      <c r="Q182" s="153"/>
      <c r="R182" s="153"/>
      <c r="S182" s="153"/>
      <c r="T182" s="153"/>
      <c r="U182" s="153"/>
      <c r="V182" s="156"/>
      <c r="W182" s="131"/>
      <c r="X182" s="131"/>
      <c r="Y182" s="131"/>
      <c r="Z182" s="131"/>
      <c r="AA182" s="131"/>
      <c r="AB182" s="131"/>
      <c r="AC182" s="131"/>
      <c r="AD182" s="131"/>
      <c r="AE182" s="131"/>
      <c r="AF182" s="131"/>
      <c r="AG182" s="131"/>
      <c r="AH182" s="131"/>
      <c r="AI182" s="131"/>
      <c r="AJ182" s="131"/>
      <c r="AK182" s="131"/>
      <c r="AL182" s="131"/>
      <c r="AM182" s="131"/>
      <c r="AN182" s="131"/>
      <c r="AO182" s="131"/>
    </row>
    <row r="183" spans="1:41" ht="12.75" customHeight="1" x14ac:dyDescent="0.25">
      <c r="A183" s="131"/>
      <c r="B183" s="131"/>
      <c r="C183" s="151"/>
      <c r="D183" s="152"/>
      <c r="E183" s="152"/>
      <c r="F183" s="152"/>
      <c r="G183" s="152"/>
      <c r="H183" s="152"/>
      <c r="I183" s="152"/>
      <c r="J183" s="131"/>
      <c r="K183" s="152"/>
      <c r="L183" s="152"/>
      <c r="M183" s="152"/>
      <c r="N183" s="153"/>
      <c r="O183" s="153"/>
      <c r="P183" s="153"/>
      <c r="Q183" s="153"/>
      <c r="R183" s="153"/>
      <c r="S183" s="153"/>
      <c r="T183" s="153"/>
      <c r="U183" s="153"/>
      <c r="V183" s="156"/>
      <c r="W183" s="131"/>
      <c r="X183" s="131"/>
      <c r="Y183" s="131"/>
      <c r="Z183" s="131"/>
      <c r="AA183" s="131"/>
      <c r="AB183" s="131"/>
      <c r="AC183" s="131"/>
      <c r="AD183" s="131"/>
      <c r="AE183" s="131"/>
      <c r="AF183" s="131"/>
      <c r="AG183" s="131"/>
      <c r="AH183" s="131"/>
      <c r="AI183" s="131"/>
      <c r="AJ183" s="131"/>
      <c r="AK183" s="131"/>
      <c r="AL183" s="131"/>
      <c r="AM183" s="131"/>
      <c r="AN183" s="131"/>
      <c r="AO183" s="131"/>
    </row>
    <row r="184" spans="1:41" ht="12.75" customHeight="1" x14ac:dyDescent="0.25">
      <c r="A184" s="131"/>
      <c r="B184" s="131"/>
      <c r="C184" s="151"/>
      <c r="D184" s="152"/>
      <c r="E184" s="152"/>
      <c r="F184" s="152"/>
      <c r="G184" s="152"/>
      <c r="H184" s="152"/>
      <c r="I184" s="152"/>
      <c r="J184" s="131"/>
      <c r="K184" s="152"/>
      <c r="L184" s="152"/>
      <c r="M184" s="152"/>
      <c r="N184" s="153"/>
      <c r="O184" s="153"/>
      <c r="P184" s="153"/>
      <c r="Q184" s="153"/>
      <c r="R184" s="153"/>
      <c r="S184" s="153"/>
      <c r="T184" s="153"/>
      <c r="U184" s="153"/>
      <c r="V184" s="156"/>
      <c r="W184" s="131"/>
      <c r="X184" s="131"/>
      <c r="Y184" s="131"/>
      <c r="Z184" s="131"/>
      <c r="AA184" s="131"/>
      <c r="AB184" s="131"/>
      <c r="AC184" s="131"/>
      <c r="AD184" s="131"/>
      <c r="AE184" s="131"/>
      <c r="AF184" s="131"/>
      <c r="AG184" s="131"/>
      <c r="AH184" s="131"/>
      <c r="AI184" s="131"/>
      <c r="AJ184" s="131"/>
      <c r="AK184" s="131"/>
      <c r="AL184" s="131"/>
      <c r="AM184" s="131"/>
      <c r="AN184" s="131"/>
      <c r="AO184" s="131"/>
    </row>
    <row r="185" spans="1:41" ht="12.75" customHeight="1" x14ac:dyDescent="0.25">
      <c r="A185" s="131"/>
      <c r="B185" s="131"/>
      <c r="C185" s="151"/>
      <c r="D185" s="152"/>
      <c r="E185" s="152"/>
      <c r="F185" s="152"/>
      <c r="G185" s="152"/>
      <c r="H185" s="152"/>
      <c r="I185" s="152"/>
      <c r="J185" s="131"/>
      <c r="K185" s="152"/>
      <c r="L185" s="152"/>
      <c r="M185" s="152"/>
      <c r="N185" s="153"/>
      <c r="O185" s="153"/>
      <c r="P185" s="153"/>
      <c r="Q185" s="153"/>
      <c r="R185" s="153"/>
      <c r="S185" s="153"/>
      <c r="T185" s="153"/>
      <c r="U185" s="153"/>
      <c r="V185" s="156"/>
      <c r="W185" s="131"/>
      <c r="X185" s="131"/>
      <c r="Y185" s="131"/>
      <c r="Z185" s="131"/>
      <c r="AA185" s="131"/>
      <c r="AB185" s="131"/>
      <c r="AC185" s="131"/>
      <c r="AD185" s="131"/>
      <c r="AE185" s="131"/>
      <c r="AF185" s="131"/>
      <c r="AG185" s="131"/>
      <c r="AH185" s="131"/>
      <c r="AI185" s="131"/>
      <c r="AJ185" s="131"/>
      <c r="AK185" s="131"/>
      <c r="AL185" s="131"/>
      <c r="AM185" s="131"/>
      <c r="AN185" s="131"/>
      <c r="AO185" s="131"/>
    </row>
    <row r="186" spans="1:41" ht="12.75" customHeight="1" x14ac:dyDescent="0.25">
      <c r="A186" s="131"/>
      <c r="B186" s="131"/>
      <c r="C186" s="151"/>
      <c r="D186" s="152"/>
      <c r="E186" s="152"/>
      <c r="F186" s="152"/>
      <c r="G186" s="152"/>
      <c r="H186" s="152"/>
      <c r="I186" s="152"/>
      <c r="J186" s="131"/>
      <c r="K186" s="152"/>
      <c r="L186" s="152"/>
      <c r="M186" s="152"/>
      <c r="N186" s="153"/>
      <c r="O186" s="153"/>
      <c r="P186" s="153"/>
      <c r="Q186" s="153"/>
      <c r="R186" s="153"/>
      <c r="S186" s="153"/>
      <c r="T186" s="153"/>
      <c r="U186" s="153"/>
      <c r="V186" s="156"/>
      <c r="W186" s="131"/>
      <c r="X186" s="131"/>
      <c r="Y186" s="131"/>
      <c r="Z186" s="131"/>
      <c r="AA186" s="131"/>
      <c r="AB186" s="131"/>
      <c r="AC186" s="131"/>
      <c r="AD186" s="131"/>
      <c r="AE186" s="131"/>
      <c r="AF186" s="131"/>
      <c r="AG186" s="131"/>
      <c r="AH186" s="131"/>
      <c r="AI186" s="131"/>
      <c r="AJ186" s="131"/>
      <c r="AK186" s="131"/>
      <c r="AL186" s="131"/>
      <c r="AM186" s="131"/>
      <c r="AN186" s="131"/>
      <c r="AO186" s="131"/>
    </row>
    <row r="187" spans="1:41" ht="12.75" customHeight="1" x14ac:dyDescent="0.25">
      <c r="A187" s="131"/>
      <c r="B187" s="131"/>
      <c r="C187" s="151"/>
      <c r="D187" s="152"/>
      <c r="E187" s="152"/>
      <c r="F187" s="152"/>
      <c r="G187" s="152"/>
      <c r="H187" s="152"/>
      <c r="I187" s="152"/>
      <c r="J187" s="131"/>
      <c r="K187" s="152"/>
      <c r="L187" s="152"/>
      <c r="M187" s="152"/>
      <c r="N187" s="153"/>
      <c r="O187" s="153"/>
      <c r="P187" s="153"/>
      <c r="Q187" s="153"/>
      <c r="R187" s="153"/>
      <c r="S187" s="153"/>
      <c r="T187" s="153"/>
      <c r="U187" s="153"/>
      <c r="V187" s="156"/>
      <c r="W187" s="131"/>
      <c r="X187" s="131"/>
      <c r="Y187" s="131"/>
      <c r="Z187" s="131"/>
      <c r="AA187" s="131"/>
      <c r="AB187" s="131"/>
      <c r="AC187" s="131"/>
      <c r="AD187" s="131"/>
      <c r="AE187" s="131"/>
      <c r="AF187" s="131"/>
      <c r="AG187" s="131"/>
      <c r="AH187" s="131"/>
      <c r="AI187" s="131"/>
      <c r="AJ187" s="131"/>
      <c r="AK187" s="131"/>
      <c r="AL187" s="131"/>
      <c r="AM187" s="131"/>
      <c r="AN187" s="131"/>
      <c r="AO187" s="131"/>
    </row>
    <row r="188" spans="1:41" ht="12.75" customHeight="1" x14ac:dyDescent="0.25">
      <c r="A188" s="131"/>
      <c r="B188" s="131"/>
      <c r="C188" s="151"/>
      <c r="D188" s="152"/>
      <c r="E188" s="152"/>
      <c r="F188" s="152"/>
      <c r="G188" s="152"/>
      <c r="H188" s="152"/>
      <c r="I188" s="152"/>
      <c r="J188" s="131"/>
      <c r="K188" s="152"/>
      <c r="L188" s="152"/>
      <c r="M188" s="152"/>
      <c r="N188" s="153"/>
      <c r="O188" s="153"/>
      <c r="P188" s="153"/>
      <c r="Q188" s="153"/>
      <c r="R188" s="153"/>
      <c r="S188" s="153"/>
      <c r="T188" s="153"/>
      <c r="U188" s="153"/>
      <c r="V188" s="156"/>
      <c r="W188" s="131"/>
      <c r="X188" s="131"/>
      <c r="Y188" s="131"/>
      <c r="Z188" s="131"/>
      <c r="AA188" s="131"/>
      <c r="AB188" s="131"/>
      <c r="AC188" s="131"/>
      <c r="AD188" s="131"/>
      <c r="AE188" s="131"/>
      <c r="AF188" s="131"/>
      <c r="AG188" s="131"/>
      <c r="AH188" s="131"/>
      <c r="AI188" s="131"/>
      <c r="AJ188" s="131"/>
      <c r="AK188" s="131"/>
      <c r="AL188" s="131"/>
      <c r="AM188" s="131"/>
      <c r="AN188" s="131"/>
      <c r="AO188" s="131"/>
    </row>
    <row r="189" spans="1:41" ht="12.75" customHeight="1" x14ac:dyDescent="0.25">
      <c r="A189" s="131"/>
      <c r="B189" s="131"/>
      <c r="C189" s="151"/>
      <c r="D189" s="152"/>
      <c r="E189" s="152"/>
      <c r="F189" s="152"/>
      <c r="G189" s="152"/>
      <c r="H189" s="152"/>
      <c r="I189" s="152"/>
      <c r="J189" s="131"/>
      <c r="K189" s="152"/>
      <c r="L189" s="152"/>
      <c r="M189" s="152"/>
      <c r="N189" s="153"/>
      <c r="O189" s="153"/>
      <c r="P189" s="153"/>
      <c r="Q189" s="153"/>
      <c r="R189" s="153"/>
      <c r="S189" s="153"/>
      <c r="T189" s="153"/>
      <c r="U189" s="153"/>
      <c r="V189" s="156"/>
      <c r="W189" s="131"/>
      <c r="X189" s="131"/>
      <c r="Y189" s="131"/>
      <c r="Z189" s="131"/>
      <c r="AA189" s="131"/>
      <c r="AB189" s="131"/>
      <c r="AC189" s="131"/>
      <c r="AD189" s="131"/>
      <c r="AE189" s="131"/>
      <c r="AF189" s="131"/>
      <c r="AG189" s="131"/>
      <c r="AH189" s="131"/>
      <c r="AI189" s="131"/>
      <c r="AJ189" s="131"/>
      <c r="AK189" s="131"/>
      <c r="AL189" s="131"/>
      <c r="AM189" s="131"/>
      <c r="AN189" s="131"/>
      <c r="AO189" s="131"/>
    </row>
    <row r="190" spans="1:41" ht="12.75" customHeight="1" x14ac:dyDescent="0.25">
      <c r="A190" s="131"/>
      <c r="B190" s="131"/>
      <c r="C190" s="151"/>
      <c r="D190" s="152"/>
      <c r="E190" s="152"/>
      <c r="F190" s="152"/>
      <c r="G190" s="152"/>
      <c r="H190" s="152"/>
      <c r="I190" s="152"/>
      <c r="J190" s="131"/>
      <c r="K190" s="152"/>
      <c r="L190" s="152"/>
      <c r="M190" s="152"/>
      <c r="N190" s="153"/>
      <c r="O190" s="153"/>
      <c r="P190" s="153"/>
      <c r="Q190" s="153"/>
      <c r="R190" s="153"/>
      <c r="S190" s="153"/>
      <c r="T190" s="153"/>
      <c r="U190" s="153"/>
      <c r="V190" s="156"/>
      <c r="W190" s="131"/>
      <c r="X190" s="131"/>
      <c r="Y190" s="131"/>
      <c r="Z190" s="131"/>
      <c r="AA190" s="131"/>
      <c r="AB190" s="131"/>
      <c r="AC190" s="131"/>
      <c r="AD190" s="131"/>
      <c r="AE190" s="131"/>
      <c r="AF190" s="131"/>
      <c r="AG190" s="131"/>
      <c r="AH190" s="131"/>
      <c r="AI190" s="131"/>
      <c r="AJ190" s="131"/>
      <c r="AK190" s="131"/>
      <c r="AL190" s="131"/>
      <c r="AM190" s="131"/>
      <c r="AN190" s="131"/>
      <c r="AO190" s="131"/>
    </row>
    <row r="191" spans="1:41" ht="12.75" customHeight="1" x14ac:dyDescent="0.25">
      <c r="A191" s="131"/>
      <c r="B191" s="131"/>
      <c r="C191" s="151"/>
      <c r="D191" s="152"/>
      <c r="E191" s="152"/>
      <c r="F191" s="152"/>
      <c r="G191" s="152"/>
      <c r="H191" s="152"/>
      <c r="I191" s="152"/>
      <c r="J191" s="131"/>
      <c r="K191" s="152"/>
      <c r="L191" s="152"/>
      <c r="M191" s="152"/>
      <c r="N191" s="153"/>
      <c r="O191" s="153"/>
      <c r="P191" s="153"/>
      <c r="Q191" s="153"/>
      <c r="R191" s="153"/>
      <c r="S191" s="153"/>
      <c r="T191" s="153"/>
      <c r="U191" s="153"/>
      <c r="V191" s="156"/>
      <c r="W191" s="131"/>
      <c r="X191" s="131"/>
      <c r="Y191" s="131"/>
      <c r="Z191" s="131"/>
      <c r="AA191" s="131"/>
      <c r="AB191" s="131"/>
      <c r="AC191" s="131"/>
      <c r="AD191" s="131"/>
      <c r="AE191" s="131"/>
      <c r="AF191" s="131"/>
      <c r="AG191" s="131"/>
      <c r="AH191" s="131"/>
      <c r="AI191" s="131"/>
      <c r="AJ191" s="131"/>
      <c r="AK191" s="131"/>
      <c r="AL191" s="131"/>
      <c r="AM191" s="131"/>
      <c r="AN191" s="131"/>
      <c r="AO191" s="131"/>
    </row>
    <row r="192" spans="1:41" ht="12.75" customHeight="1" x14ac:dyDescent="0.25">
      <c r="A192" s="131"/>
      <c r="B192" s="131"/>
      <c r="C192" s="151"/>
      <c r="D192" s="152"/>
      <c r="E192" s="152"/>
      <c r="F192" s="152"/>
      <c r="G192" s="152"/>
      <c r="H192" s="152"/>
      <c r="I192" s="152"/>
      <c r="J192" s="131"/>
      <c r="K192" s="152"/>
      <c r="L192" s="152"/>
      <c r="M192" s="152"/>
      <c r="N192" s="153"/>
      <c r="O192" s="153"/>
      <c r="P192" s="153"/>
      <c r="Q192" s="153"/>
      <c r="R192" s="153"/>
      <c r="S192" s="153"/>
      <c r="T192" s="153"/>
      <c r="U192" s="153"/>
      <c r="V192" s="156"/>
      <c r="W192" s="131"/>
      <c r="X192" s="131"/>
      <c r="Y192" s="131"/>
      <c r="Z192" s="131"/>
      <c r="AA192" s="131"/>
      <c r="AB192" s="131"/>
      <c r="AC192" s="131"/>
      <c r="AD192" s="131"/>
      <c r="AE192" s="131"/>
      <c r="AF192" s="131"/>
      <c r="AG192" s="131"/>
      <c r="AH192" s="131"/>
      <c r="AI192" s="131"/>
      <c r="AJ192" s="131"/>
      <c r="AK192" s="131"/>
      <c r="AL192" s="131"/>
      <c r="AM192" s="131"/>
      <c r="AN192" s="131"/>
      <c r="AO192" s="131"/>
    </row>
    <row r="193" spans="1:41" ht="12.75" customHeight="1" x14ac:dyDescent="0.25">
      <c r="A193" s="131"/>
      <c r="B193" s="131"/>
      <c r="C193" s="151"/>
      <c r="D193" s="152"/>
      <c r="E193" s="152"/>
      <c r="F193" s="152"/>
      <c r="G193" s="152"/>
      <c r="H193" s="152"/>
      <c r="I193" s="152"/>
      <c r="J193" s="131"/>
      <c r="K193" s="152"/>
      <c r="L193" s="152"/>
      <c r="M193" s="152"/>
      <c r="N193" s="153"/>
      <c r="O193" s="153"/>
      <c r="P193" s="153"/>
      <c r="Q193" s="153"/>
      <c r="R193" s="153"/>
      <c r="S193" s="153"/>
      <c r="T193" s="153"/>
      <c r="U193" s="153"/>
      <c r="V193" s="156"/>
      <c r="W193" s="131"/>
      <c r="X193" s="131"/>
      <c r="Y193" s="131"/>
      <c r="Z193" s="131"/>
      <c r="AA193" s="131"/>
      <c r="AB193" s="131"/>
      <c r="AC193" s="131"/>
      <c r="AD193" s="131"/>
      <c r="AE193" s="131"/>
      <c r="AF193" s="131"/>
      <c r="AG193" s="131"/>
      <c r="AH193" s="131"/>
      <c r="AI193" s="131"/>
      <c r="AJ193" s="131"/>
      <c r="AK193" s="131"/>
      <c r="AL193" s="131"/>
      <c r="AM193" s="131"/>
      <c r="AN193" s="131"/>
      <c r="AO193" s="131"/>
    </row>
    <row r="194" spans="1:41" ht="12.75" customHeight="1" x14ac:dyDescent="0.25">
      <c r="A194" s="131"/>
      <c r="B194" s="131"/>
      <c r="C194" s="151"/>
      <c r="D194" s="152"/>
      <c r="E194" s="152"/>
      <c r="F194" s="152"/>
      <c r="G194" s="152"/>
      <c r="H194" s="152"/>
      <c r="I194" s="152"/>
      <c r="J194" s="131"/>
      <c r="K194" s="152"/>
      <c r="L194" s="152"/>
      <c r="M194" s="152"/>
      <c r="N194" s="153"/>
      <c r="O194" s="153"/>
      <c r="P194" s="153"/>
      <c r="Q194" s="153"/>
      <c r="R194" s="153"/>
      <c r="S194" s="153"/>
      <c r="T194" s="153"/>
      <c r="U194" s="153"/>
      <c r="V194" s="156"/>
      <c r="W194" s="131"/>
      <c r="X194" s="131"/>
      <c r="Y194" s="131"/>
      <c r="Z194" s="131"/>
      <c r="AA194" s="131"/>
      <c r="AB194" s="131"/>
      <c r="AC194" s="131"/>
      <c r="AD194" s="131"/>
      <c r="AE194" s="131"/>
      <c r="AF194" s="131"/>
      <c r="AG194" s="131"/>
      <c r="AH194" s="131"/>
      <c r="AI194" s="131"/>
      <c r="AJ194" s="131"/>
      <c r="AK194" s="131"/>
      <c r="AL194" s="131"/>
      <c r="AM194" s="131"/>
      <c r="AN194" s="131"/>
      <c r="AO194" s="131"/>
    </row>
    <row r="195" spans="1:41" ht="12.75" customHeight="1" x14ac:dyDescent="0.25">
      <c r="A195" s="131"/>
      <c r="B195" s="131"/>
      <c r="C195" s="151"/>
      <c r="D195" s="152"/>
      <c r="E195" s="152"/>
      <c r="F195" s="152"/>
      <c r="G195" s="152"/>
      <c r="H195" s="152"/>
      <c r="I195" s="152"/>
      <c r="J195" s="131"/>
      <c r="K195" s="152"/>
      <c r="L195" s="152"/>
      <c r="M195" s="152"/>
      <c r="N195" s="153"/>
      <c r="O195" s="153"/>
      <c r="P195" s="153"/>
      <c r="Q195" s="153"/>
      <c r="R195" s="153"/>
      <c r="S195" s="153"/>
      <c r="T195" s="153"/>
      <c r="U195" s="153"/>
      <c r="V195" s="156"/>
      <c r="W195" s="131"/>
      <c r="X195" s="131"/>
      <c r="Y195" s="131"/>
      <c r="Z195" s="131"/>
      <c r="AA195" s="131"/>
      <c r="AB195" s="131"/>
      <c r="AC195" s="131"/>
      <c r="AD195" s="131"/>
      <c r="AE195" s="131"/>
      <c r="AF195" s="131"/>
      <c r="AG195" s="131"/>
      <c r="AH195" s="131"/>
      <c r="AI195" s="131"/>
      <c r="AJ195" s="131"/>
      <c r="AK195" s="131"/>
      <c r="AL195" s="131"/>
      <c r="AM195" s="131"/>
      <c r="AN195" s="131"/>
      <c r="AO195" s="131"/>
    </row>
    <row r="196" spans="1:41" ht="12.75" customHeight="1" x14ac:dyDescent="0.25">
      <c r="A196" s="131"/>
      <c r="B196" s="131"/>
      <c r="C196" s="151"/>
      <c r="D196" s="152"/>
      <c r="E196" s="152"/>
      <c r="F196" s="152"/>
      <c r="G196" s="152"/>
      <c r="H196" s="152"/>
      <c r="I196" s="152"/>
      <c r="J196" s="131"/>
      <c r="K196" s="152"/>
      <c r="L196" s="152"/>
      <c r="M196" s="152"/>
      <c r="N196" s="153"/>
      <c r="O196" s="153"/>
      <c r="P196" s="153"/>
      <c r="Q196" s="153"/>
      <c r="R196" s="153"/>
      <c r="S196" s="153"/>
      <c r="T196" s="153"/>
      <c r="U196" s="153"/>
      <c r="V196" s="156"/>
      <c r="W196" s="131"/>
      <c r="X196" s="131"/>
      <c r="Y196" s="131"/>
      <c r="Z196" s="131"/>
      <c r="AA196" s="131"/>
      <c r="AB196" s="131"/>
      <c r="AC196" s="131"/>
      <c r="AD196" s="131"/>
      <c r="AE196" s="131"/>
      <c r="AF196" s="131"/>
      <c r="AG196" s="131"/>
      <c r="AH196" s="131"/>
      <c r="AI196" s="131"/>
      <c r="AJ196" s="131"/>
      <c r="AK196" s="131"/>
      <c r="AL196" s="131"/>
      <c r="AM196" s="131"/>
      <c r="AN196" s="131"/>
      <c r="AO196" s="131"/>
    </row>
    <row r="197" spans="1:41" ht="12.75" customHeight="1" x14ac:dyDescent="0.25">
      <c r="A197" s="131"/>
      <c r="B197" s="131"/>
      <c r="C197" s="151"/>
      <c r="D197" s="152"/>
      <c r="E197" s="152"/>
      <c r="F197" s="152"/>
      <c r="G197" s="152"/>
      <c r="H197" s="152"/>
      <c r="I197" s="152"/>
      <c r="J197" s="131"/>
      <c r="K197" s="152"/>
      <c r="L197" s="152"/>
      <c r="M197" s="152"/>
      <c r="N197" s="153"/>
      <c r="O197" s="153"/>
      <c r="P197" s="153"/>
      <c r="Q197" s="153"/>
      <c r="R197" s="153"/>
      <c r="S197" s="153"/>
      <c r="T197" s="153"/>
      <c r="U197" s="153"/>
      <c r="V197" s="156"/>
      <c r="W197" s="131"/>
      <c r="X197" s="131"/>
      <c r="Y197" s="131"/>
      <c r="Z197" s="131"/>
      <c r="AA197" s="131"/>
      <c r="AB197" s="131"/>
      <c r="AC197" s="131"/>
      <c r="AD197" s="131"/>
      <c r="AE197" s="131"/>
      <c r="AF197" s="131"/>
      <c r="AG197" s="131"/>
      <c r="AH197" s="131"/>
      <c r="AI197" s="131"/>
      <c r="AJ197" s="131"/>
      <c r="AK197" s="131"/>
      <c r="AL197" s="131"/>
      <c r="AM197" s="131"/>
      <c r="AN197" s="131"/>
      <c r="AO197" s="131"/>
    </row>
    <row r="198" spans="1:41" ht="12.75" customHeight="1" x14ac:dyDescent="0.25">
      <c r="A198" s="131"/>
      <c r="B198" s="131"/>
      <c r="C198" s="151"/>
      <c r="D198" s="152"/>
      <c r="E198" s="152"/>
      <c r="F198" s="152"/>
      <c r="G198" s="152"/>
      <c r="H198" s="152"/>
      <c r="I198" s="152"/>
      <c r="J198" s="131"/>
      <c r="K198" s="152"/>
      <c r="L198" s="152"/>
      <c r="M198" s="152"/>
      <c r="N198" s="153"/>
      <c r="O198" s="153"/>
      <c r="P198" s="153"/>
      <c r="Q198" s="153"/>
      <c r="R198" s="153"/>
      <c r="S198" s="153"/>
      <c r="T198" s="153"/>
      <c r="U198" s="153"/>
      <c r="V198" s="156"/>
      <c r="W198" s="131"/>
      <c r="X198" s="131"/>
      <c r="Y198" s="131"/>
      <c r="Z198" s="131"/>
      <c r="AA198" s="131"/>
      <c r="AB198" s="131"/>
      <c r="AC198" s="131"/>
      <c r="AD198" s="131"/>
      <c r="AE198" s="131"/>
      <c r="AF198" s="131"/>
      <c r="AG198" s="131"/>
      <c r="AH198" s="131"/>
      <c r="AI198" s="131"/>
      <c r="AJ198" s="131"/>
      <c r="AK198" s="131"/>
      <c r="AL198" s="131"/>
      <c r="AM198" s="131"/>
      <c r="AN198" s="131"/>
      <c r="AO198" s="131"/>
    </row>
    <row r="199" spans="1:41" ht="12.75" customHeight="1" x14ac:dyDescent="0.25">
      <c r="A199" s="131"/>
      <c r="B199" s="131"/>
      <c r="C199" s="151"/>
      <c r="D199" s="152"/>
      <c r="E199" s="152"/>
      <c r="F199" s="152"/>
      <c r="G199" s="152"/>
      <c r="H199" s="152"/>
      <c r="I199" s="152"/>
      <c r="J199" s="131"/>
      <c r="K199" s="152"/>
      <c r="L199" s="152"/>
      <c r="M199" s="152"/>
      <c r="N199" s="153"/>
      <c r="O199" s="153"/>
      <c r="P199" s="153"/>
      <c r="Q199" s="153"/>
      <c r="R199" s="153"/>
      <c r="S199" s="153"/>
      <c r="T199" s="153"/>
      <c r="U199" s="153"/>
      <c r="V199" s="156"/>
      <c r="W199" s="131"/>
      <c r="X199" s="131"/>
      <c r="Y199" s="131"/>
      <c r="Z199" s="131"/>
      <c r="AA199" s="131"/>
      <c r="AB199" s="131"/>
      <c r="AC199" s="131"/>
      <c r="AD199" s="131"/>
      <c r="AE199" s="131"/>
      <c r="AF199" s="131"/>
      <c r="AG199" s="131"/>
      <c r="AH199" s="131"/>
      <c r="AI199" s="131"/>
      <c r="AJ199" s="131"/>
      <c r="AK199" s="131"/>
      <c r="AL199" s="131"/>
      <c r="AM199" s="131"/>
      <c r="AN199" s="131"/>
      <c r="AO199" s="131"/>
    </row>
    <row r="200" spans="1:41" ht="12.75" customHeight="1" x14ac:dyDescent="0.25">
      <c r="A200" s="131"/>
      <c r="B200" s="131"/>
      <c r="C200" s="151"/>
      <c r="D200" s="152"/>
      <c r="E200" s="152"/>
      <c r="F200" s="152"/>
      <c r="G200" s="152"/>
      <c r="H200" s="152"/>
      <c r="I200" s="152"/>
      <c r="J200" s="131"/>
      <c r="K200" s="152"/>
      <c r="L200" s="152"/>
      <c r="M200" s="152"/>
      <c r="N200" s="153"/>
      <c r="O200" s="153"/>
      <c r="P200" s="153"/>
      <c r="Q200" s="153"/>
      <c r="R200" s="153"/>
      <c r="S200" s="153"/>
      <c r="T200" s="153"/>
      <c r="U200" s="153"/>
      <c r="V200" s="156"/>
      <c r="W200" s="131"/>
      <c r="X200" s="131"/>
      <c r="Y200" s="131"/>
      <c r="Z200" s="131"/>
      <c r="AA200" s="131"/>
      <c r="AB200" s="131"/>
      <c r="AC200" s="131"/>
      <c r="AD200" s="131"/>
      <c r="AE200" s="131"/>
      <c r="AF200" s="131"/>
      <c r="AG200" s="131"/>
      <c r="AH200" s="131"/>
      <c r="AI200" s="131"/>
      <c r="AJ200" s="131"/>
      <c r="AK200" s="131"/>
      <c r="AL200" s="131"/>
      <c r="AM200" s="131"/>
      <c r="AN200" s="131"/>
      <c r="AO200" s="131"/>
    </row>
    <row r="201" spans="1:41" ht="12.75" customHeight="1" x14ac:dyDescent="0.25">
      <c r="A201" s="131"/>
      <c r="B201" s="131"/>
      <c r="C201" s="151"/>
      <c r="D201" s="152"/>
      <c r="E201" s="152"/>
      <c r="F201" s="152"/>
      <c r="G201" s="152"/>
      <c r="H201" s="152"/>
      <c r="I201" s="152"/>
      <c r="J201" s="131"/>
      <c r="K201" s="152"/>
      <c r="L201" s="152"/>
      <c r="M201" s="152"/>
      <c r="N201" s="153"/>
      <c r="O201" s="153"/>
      <c r="P201" s="153"/>
      <c r="Q201" s="153"/>
      <c r="R201" s="153"/>
      <c r="S201" s="153"/>
      <c r="T201" s="153"/>
      <c r="U201" s="153"/>
      <c r="V201" s="156"/>
      <c r="W201" s="131"/>
      <c r="X201" s="131"/>
      <c r="Y201" s="131"/>
      <c r="Z201" s="131"/>
      <c r="AA201" s="131"/>
      <c r="AB201" s="131"/>
      <c r="AC201" s="131"/>
      <c r="AD201" s="131"/>
      <c r="AE201" s="131"/>
      <c r="AF201" s="131"/>
      <c r="AG201" s="131"/>
      <c r="AH201" s="131"/>
      <c r="AI201" s="131"/>
      <c r="AJ201" s="131"/>
      <c r="AK201" s="131"/>
      <c r="AL201" s="131"/>
      <c r="AM201" s="131"/>
      <c r="AN201" s="131"/>
      <c r="AO201" s="131"/>
    </row>
    <row r="202" spans="1:41" ht="12.75" customHeight="1" x14ac:dyDescent="0.25">
      <c r="A202" s="131"/>
      <c r="B202" s="131"/>
      <c r="C202" s="151"/>
      <c r="D202" s="152"/>
      <c r="E202" s="152"/>
      <c r="F202" s="152"/>
      <c r="G202" s="152"/>
      <c r="H202" s="152"/>
      <c r="I202" s="152"/>
      <c r="J202" s="131"/>
      <c r="K202" s="152"/>
      <c r="L202" s="152"/>
      <c r="M202" s="152"/>
      <c r="N202" s="153"/>
      <c r="O202" s="153"/>
      <c r="P202" s="153"/>
      <c r="Q202" s="153"/>
      <c r="R202" s="153"/>
      <c r="S202" s="153"/>
      <c r="T202" s="153"/>
      <c r="U202" s="153"/>
      <c r="V202" s="156"/>
      <c r="W202" s="131"/>
      <c r="X202" s="131"/>
      <c r="Y202" s="131"/>
      <c r="Z202" s="131"/>
      <c r="AA202" s="131"/>
      <c r="AB202" s="131"/>
      <c r="AC202" s="131"/>
      <c r="AD202" s="131"/>
      <c r="AE202" s="131"/>
      <c r="AF202" s="131"/>
      <c r="AG202" s="131"/>
      <c r="AH202" s="131"/>
      <c r="AI202" s="131"/>
      <c r="AJ202" s="131"/>
      <c r="AK202" s="131"/>
      <c r="AL202" s="131"/>
      <c r="AM202" s="131"/>
      <c r="AN202" s="131"/>
      <c r="AO202" s="131"/>
    </row>
    <row r="203" spans="1:41" ht="12.75" customHeight="1" x14ac:dyDescent="0.25">
      <c r="A203" s="131"/>
      <c r="B203" s="131"/>
      <c r="C203" s="151"/>
      <c r="D203" s="152"/>
      <c r="E203" s="152"/>
      <c r="F203" s="152"/>
      <c r="G203" s="152"/>
      <c r="H203" s="152"/>
      <c r="I203" s="152"/>
      <c r="J203" s="131"/>
      <c r="K203" s="152"/>
      <c r="L203" s="152"/>
      <c r="M203" s="152"/>
      <c r="N203" s="153"/>
      <c r="O203" s="153"/>
      <c r="P203" s="153"/>
      <c r="Q203" s="153"/>
      <c r="R203" s="153"/>
      <c r="S203" s="153"/>
      <c r="T203" s="153"/>
      <c r="U203" s="153"/>
      <c r="V203" s="156"/>
      <c r="W203" s="131"/>
      <c r="X203" s="131"/>
      <c r="Y203" s="131"/>
      <c r="Z203" s="131"/>
      <c r="AA203" s="131"/>
      <c r="AB203" s="131"/>
      <c r="AC203" s="131"/>
      <c r="AD203" s="131"/>
      <c r="AE203" s="131"/>
      <c r="AF203" s="131"/>
      <c r="AG203" s="131"/>
      <c r="AH203" s="131"/>
      <c r="AI203" s="131"/>
      <c r="AJ203" s="131"/>
      <c r="AK203" s="131"/>
      <c r="AL203" s="131"/>
      <c r="AM203" s="131"/>
      <c r="AN203" s="131"/>
      <c r="AO203" s="131"/>
    </row>
    <row r="204" spans="1:41" ht="12.75" customHeight="1" x14ac:dyDescent="0.25">
      <c r="A204" s="131"/>
      <c r="B204" s="131"/>
      <c r="C204" s="151"/>
      <c r="D204" s="152"/>
      <c r="E204" s="152"/>
      <c r="F204" s="152"/>
      <c r="G204" s="152"/>
      <c r="H204" s="152"/>
      <c r="I204" s="152"/>
      <c r="J204" s="131"/>
      <c r="K204" s="152"/>
      <c r="L204" s="152"/>
      <c r="M204" s="152"/>
      <c r="N204" s="153"/>
      <c r="O204" s="153"/>
      <c r="P204" s="153"/>
      <c r="Q204" s="153"/>
      <c r="R204" s="153"/>
      <c r="S204" s="153"/>
      <c r="T204" s="153"/>
      <c r="U204" s="153"/>
      <c r="V204" s="156"/>
      <c r="W204" s="131"/>
      <c r="X204" s="131"/>
      <c r="Y204" s="131"/>
      <c r="Z204" s="131"/>
      <c r="AA204" s="131"/>
      <c r="AB204" s="131"/>
      <c r="AC204" s="131"/>
      <c r="AD204" s="131"/>
      <c r="AE204" s="131"/>
      <c r="AF204" s="131"/>
      <c r="AG204" s="131"/>
      <c r="AH204" s="131"/>
      <c r="AI204" s="131"/>
      <c r="AJ204" s="131"/>
      <c r="AK204" s="131"/>
      <c r="AL204" s="131"/>
      <c r="AM204" s="131"/>
      <c r="AN204" s="131"/>
      <c r="AO204" s="131"/>
    </row>
    <row r="205" spans="1:41" ht="12.75" customHeight="1" x14ac:dyDescent="0.25">
      <c r="A205" s="131"/>
      <c r="B205" s="131"/>
      <c r="C205" s="151"/>
      <c r="D205" s="152"/>
      <c r="E205" s="152"/>
      <c r="F205" s="152"/>
      <c r="G205" s="152"/>
      <c r="H205" s="152"/>
      <c r="I205" s="152"/>
      <c r="J205" s="131"/>
      <c r="K205" s="152"/>
      <c r="L205" s="152"/>
      <c r="M205" s="152"/>
      <c r="N205" s="153"/>
      <c r="O205" s="153"/>
      <c r="P205" s="153"/>
      <c r="Q205" s="153"/>
      <c r="R205" s="153"/>
      <c r="S205" s="153"/>
      <c r="T205" s="153"/>
      <c r="U205" s="153"/>
      <c r="V205" s="156"/>
      <c r="W205" s="131"/>
      <c r="X205" s="131"/>
      <c r="Y205" s="131"/>
      <c r="Z205" s="131"/>
      <c r="AA205" s="131"/>
      <c r="AB205" s="131"/>
      <c r="AC205" s="131"/>
      <c r="AD205" s="131"/>
      <c r="AE205" s="131"/>
      <c r="AF205" s="131"/>
      <c r="AG205" s="131"/>
      <c r="AH205" s="131"/>
      <c r="AI205" s="131"/>
      <c r="AJ205" s="131"/>
      <c r="AK205" s="131"/>
      <c r="AL205" s="131"/>
      <c r="AM205" s="131"/>
      <c r="AN205" s="131"/>
      <c r="AO205" s="131"/>
    </row>
    <row r="206" spans="1:41" ht="12.75" customHeight="1" x14ac:dyDescent="0.25">
      <c r="A206" s="131"/>
      <c r="B206" s="131"/>
      <c r="C206" s="151"/>
      <c r="D206" s="152"/>
      <c r="E206" s="152"/>
      <c r="F206" s="152"/>
      <c r="G206" s="152"/>
      <c r="H206" s="152"/>
      <c r="I206" s="152"/>
      <c r="J206" s="131"/>
      <c r="K206" s="152"/>
      <c r="L206" s="152"/>
      <c r="M206" s="152"/>
      <c r="N206" s="153"/>
      <c r="O206" s="153"/>
      <c r="P206" s="153"/>
      <c r="Q206" s="153"/>
      <c r="R206" s="153"/>
      <c r="S206" s="153"/>
      <c r="T206" s="153"/>
      <c r="U206" s="153"/>
      <c r="V206" s="156"/>
      <c r="W206" s="131"/>
      <c r="X206" s="131"/>
      <c r="Y206" s="131"/>
      <c r="Z206" s="131"/>
      <c r="AA206" s="131"/>
      <c r="AB206" s="131"/>
      <c r="AC206" s="131"/>
      <c r="AD206" s="131"/>
      <c r="AE206" s="131"/>
      <c r="AF206" s="131"/>
      <c r="AG206" s="131"/>
      <c r="AH206" s="131"/>
      <c r="AI206" s="131"/>
      <c r="AJ206" s="131"/>
      <c r="AK206" s="131"/>
      <c r="AL206" s="131"/>
      <c r="AM206" s="131"/>
      <c r="AN206" s="131"/>
      <c r="AO206" s="131"/>
    </row>
    <row r="207" spans="1:41" ht="12.75" customHeight="1" x14ac:dyDescent="0.25">
      <c r="A207" s="131"/>
      <c r="B207" s="131"/>
      <c r="C207" s="151"/>
      <c r="D207" s="152"/>
      <c r="E207" s="152"/>
      <c r="F207" s="152"/>
      <c r="G207" s="152"/>
      <c r="H207" s="152"/>
      <c r="I207" s="152"/>
      <c r="J207" s="131"/>
      <c r="K207" s="152"/>
      <c r="L207" s="152"/>
      <c r="M207" s="152"/>
      <c r="N207" s="153"/>
      <c r="O207" s="153"/>
      <c r="P207" s="153"/>
      <c r="Q207" s="153"/>
      <c r="R207" s="153"/>
      <c r="S207" s="153"/>
      <c r="T207" s="153"/>
      <c r="U207" s="153"/>
      <c r="V207" s="156"/>
      <c r="W207" s="131"/>
      <c r="X207" s="131"/>
      <c r="Y207" s="131"/>
      <c r="Z207" s="131"/>
      <c r="AA207" s="131"/>
      <c r="AB207" s="131"/>
      <c r="AC207" s="131"/>
      <c r="AD207" s="131"/>
      <c r="AE207" s="131"/>
      <c r="AF207" s="131"/>
      <c r="AG207" s="131"/>
      <c r="AH207" s="131"/>
      <c r="AI207" s="131"/>
      <c r="AJ207" s="131"/>
      <c r="AK207" s="131"/>
      <c r="AL207" s="131"/>
      <c r="AM207" s="131"/>
      <c r="AN207" s="131"/>
      <c r="AO207" s="131"/>
    </row>
    <row r="208" spans="1:41" ht="12.75" customHeight="1" x14ac:dyDescent="0.25">
      <c r="A208" s="131"/>
      <c r="B208" s="131"/>
      <c r="C208" s="151"/>
      <c r="D208" s="152"/>
      <c r="E208" s="152"/>
      <c r="F208" s="152"/>
      <c r="G208" s="152"/>
      <c r="H208" s="152"/>
      <c r="I208" s="152"/>
      <c r="J208" s="131"/>
      <c r="K208" s="152"/>
      <c r="L208" s="152"/>
      <c r="M208" s="152"/>
      <c r="N208" s="153"/>
      <c r="O208" s="153"/>
      <c r="P208" s="153"/>
      <c r="Q208" s="153"/>
      <c r="R208" s="153"/>
      <c r="S208" s="153"/>
      <c r="T208" s="153"/>
      <c r="U208" s="153"/>
      <c r="V208" s="156"/>
      <c r="W208" s="131"/>
      <c r="X208" s="131"/>
      <c r="Y208" s="131"/>
      <c r="Z208" s="131"/>
      <c r="AA208" s="131"/>
      <c r="AB208" s="131"/>
      <c r="AC208" s="131"/>
      <c r="AD208" s="131"/>
      <c r="AE208" s="131"/>
      <c r="AF208" s="131"/>
      <c r="AG208" s="131"/>
      <c r="AH208" s="131"/>
      <c r="AI208" s="131"/>
      <c r="AJ208" s="131"/>
      <c r="AK208" s="131"/>
      <c r="AL208" s="131"/>
      <c r="AM208" s="131"/>
      <c r="AN208" s="131"/>
      <c r="AO208" s="131"/>
    </row>
    <row r="209" spans="1:41" ht="12.75" customHeight="1" x14ac:dyDescent="0.25">
      <c r="A209" s="131"/>
      <c r="B209" s="131"/>
      <c r="C209" s="151"/>
      <c r="D209" s="152"/>
      <c r="E209" s="152"/>
      <c r="F209" s="152"/>
      <c r="G209" s="152"/>
      <c r="H209" s="152"/>
      <c r="I209" s="152"/>
      <c r="J209" s="131"/>
      <c r="K209" s="152"/>
      <c r="L209" s="152"/>
      <c r="M209" s="152"/>
      <c r="N209" s="153"/>
      <c r="O209" s="153"/>
      <c r="P209" s="153"/>
      <c r="Q209" s="153"/>
      <c r="R209" s="153"/>
      <c r="S209" s="153"/>
      <c r="T209" s="153"/>
      <c r="U209" s="153"/>
      <c r="V209" s="156"/>
      <c r="W209" s="131"/>
      <c r="X209" s="131"/>
      <c r="Y209" s="131"/>
      <c r="Z209" s="131"/>
      <c r="AA209" s="131"/>
      <c r="AB209" s="131"/>
      <c r="AC209" s="131"/>
      <c r="AD209" s="131"/>
      <c r="AE209" s="131"/>
      <c r="AF209" s="131"/>
      <c r="AG209" s="131"/>
      <c r="AH209" s="131"/>
      <c r="AI209" s="131"/>
      <c r="AJ209" s="131"/>
      <c r="AK209" s="131"/>
      <c r="AL209" s="131"/>
      <c r="AM209" s="131"/>
      <c r="AN209" s="131"/>
      <c r="AO209" s="131"/>
    </row>
    <row r="210" spans="1:41" ht="12.75" customHeight="1" x14ac:dyDescent="0.25">
      <c r="A210" s="131"/>
      <c r="B210" s="131"/>
      <c r="C210" s="151"/>
      <c r="D210" s="152"/>
      <c r="E210" s="152"/>
      <c r="F210" s="152"/>
      <c r="G210" s="152"/>
      <c r="H210" s="152"/>
      <c r="I210" s="152"/>
      <c r="J210" s="131"/>
      <c r="K210" s="152"/>
      <c r="L210" s="152"/>
      <c r="M210" s="152"/>
      <c r="N210" s="153"/>
      <c r="O210" s="153"/>
      <c r="P210" s="153"/>
      <c r="Q210" s="153"/>
      <c r="R210" s="153"/>
      <c r="S210" s="153"/>
      <c r="T210" s="153"/>
      <c r="U210" s="153"/>
      <c r="V210" s="156"/>
      <c r="W210" s="131"/>
      <c r="X210" s="131"/>
      <c r="Y210" s="131"/>
      <c r="Z210" s="131"/>
      <c r="AA210" s="131"/>
      <c r="AB210" s="131"/>
      <c r="AC210" s="131"/>
      <c r="AD210" s="131"/>
      <c r="AE210" s="131"/>
      <c r="AF210" s="131"/>
      <c r="AG210" s="131"/>
      <c r="AH210" s="131"/>
      <c r="AI210" s="131"/>
      <c r="AJ210" s="131"/>
      <c r="AK210" s="131"/>
      <c r="AL210" s="131"/>
      <c r="AM210" s="131"/>
      <c r="AN210" s="131"/>
      <c r="AO210" s="131"/>
    </row>
    <row r="211" spans="1:41" ht="12.75" customHeight="1" x14ac:dyDescent="0.25">
      <c r="A211" s="131"/>
      <c r="B211" s="131"/>
      <c r="C211" s="151"/>
      <c r="D211" s="152"/>
      <c r="E211" s="152"/>
      <c r="F211" s="152"/>
      <c r="G211" s="152"/>
      <c r="H211" s="152"/>
      <c r="I211" s="152"/>
      <c r="J211" s="131"/>
      <c r="K211" s="152"/>
      <c r="L211" s="152"/>
      <c r="M211" s="152"/>
      <c r="N211" s="153"/>
      <c r="O211" s="153"/>
      <c r="P211" s="153"/>
      <c r="Q211" s="153"/>
      <c r="R211" s="153"/>
      <c r="S211" s="153"/>
      <c r="T211" s="153"/>
      <c r="U211" s="153"/>
      <c r="V211" s="156"/>
      <c r="W211" s="131"/>
      <c r="X211" s="131"/>
      <c r="Y211" s="131"/>
      <c r="Z211" s="131"/>
      <c r="AA211" s="131"/>
      <c r="AB211" s="131"/>
      <c r="AC211" s="131"/>
      <c r="AD211" s="131"/>
      <c r="AE211" s="131"/>
      <c r="AF211" s="131"/>
      <c r="AG211" s="131"/>
      <c r="AH211" s="131"/>
      <c r="AI211" s="131"/>
      <c r="AJ211" s="131"/>
      <c r="AK211" s="131"/>
      <c r="AL211" s="131"/>
      <c r="AM211" s="131"/>
      <c r="AN211" s="131"/>
      <c r="AO211" s="131"/>
    </row>
    <row r="212" spans="1:41" ht="12.75" customHeight="1" x14ac:dyDescent="0.25">
      <c r="A212" s="131"/>
      <c r="B212" s="131"/>
      <c r="C212" s="151"/>
      <c r="D212" s="152"/>
      <c r="E212" s="152"/>
      <c r="F212" s="152"/>
      <c r="G212" s="152"/>
      <c r="H212" s="152"/>
      <c r="I212" s="152"/>
      <c r="J212" s="131"/>
      <c r="K212" s="152"/>
      <c r="L212" s="152"/>
      <c r="M212" s="152"/>
      <c r="N212" s="153"/>
      <c r="O212" s="153"/>
      <c r="P212" s="153"/>
      <c r="Q212" s="153"/>
      <c r="R212" s="153"/>
      <c r="S212" s="153"/>
      <c r="T212" s="153"/>
      <c r="U212" s="153"/>
      <c r="V212" s="156"/>
      <c r="W212" s="131"/>
      <c r="X212" s="131"/>
      <c r="Y212" s="131"/>
      <c r="Z212" s="131"/>
      <c r="AA212" s="131"/>
      <c r="AB212" s="131"/>
      <c r="AC212" s="131"/>
      <c r="AD212" s="131"/>
      <c r="AE212" s="131"/>
      <c r="AF212" s="131"/>
      <c r="AG212" s="131"/>
      <c r="AH212" s="131"/>
      <c r="AI212" s="131"/>
      <c r="AJ212" s="131"/>
      <c r="AK212" s="131"/>
      <c r="AL212" s="131"/>
      <c r="AM212" s="131"/>
      <c r="AN212" s="131"/>
      <c r="AO212" s="131"/>
    </row>
    <row r="213" spans="1:41" ht="12.75" customHeight="1" x14ac:dyDescent="0.25">
      <c r="A213" s="131"/>
      <c r="B213" s="131"/>
      <c r="C213" s="151"/>
      <c r="D213" s="152"/>
      <c r="E213" s="152"/>
      <c r="F213" s="152"/>
      <c r="G213" s="152"/>
      <c r="H213" s="152"/>
      <c r="I213" s="152"/>
      <c r="J213" s="131"/>
      <c r="K213" s="152"/>
      <c r="L213" s="152"/>
      <c r="M213" s="152"/>
      <c r="N213" s="153"/>
      <c r="O213" s="153"/>
      <c r="P213" s="153"/>
      <c r="Q213" s="153"/>
      <c r="R213" s="153"/>
      <c r="S213" s="153"/>
      <c r="T213" s="153"/>
      <c r="U213" s="153"/>
      <c r="V213" s="156"/>
      <c r="W213" s="131"/>
      <c r="X213" s="131"/>
      <c r="Y213" s="131"/>
      <c r="Z213" s="131"/>
      <c r="AA213" s="131"/>
      <c r="AB213" s="131"/>
      <c r="AC213" s="131"/>
      <c r="AD213" s="131"/>
      <c r="AE213" s="131"/>
      <c r="AF213" s="131"/>
      <c r="AG213" s="131"/>
      <c r="AH213" s="131"/>
      <c r="AI213" s="131"/>
      <c r="AJ213" s="131"/>
      <c r="AK213" s="131"/>
      <c r="AL213" s="131"/>
      <c r="AM213" s="131"/>
      <c r="AN213" s="131"/>
      <c r="AO213" s="131"/>
    </row>
    <row r="214" spans="1:41" ht="12.75" customHeight="1" x14ac:dyDescent="0.25">
      <c r="A214" s="131"/>
      <c r="B214" s="131"/>
      <c r="C214" s="151"/>
      <c r="D214" s="152"/>
      <c r="E214" s="152"/>
      <c r="F214" s="152"/>
      <c r="G214" s="152"/>
      <c r="H214" s="152"/>
      <c r="I214" s="152"/>
      <c r="J214" s="131"/>
      <c r="K214" s="152"/>
      <c r="L214" s="152"/>
      <c r="M214" s="152"/>
      <c r="N214" s="153"/>
      <c r="O214" s="153"/>
      <c r="P214" s="153"/>
      <c r="Q214" s="153"/>
      <c r="R214" s="153"/>
      <c r="S214" s="153"/>
      <c r="T214" s="153"/>
      <c r="U214" s="153"/>
      <c r="V214" s="156"/>
      <c r="W214" s="131"/>
      <c r="X214" s="131"/>
      <c r="Y214" s="131"/>
      <c r="Z214" s="131"/>
      <c r="AA214" s="131"/>
      <c r="AB214" s="131"/>
      <c r="AC214" s="131"/>
      <c r="AD214" s="131"/>
      <c r="AE214" s="131"/>
      <c r="AF214" s="131"/>
      <c r="AG214" s="131"/>
      <c r="AH214" s="131"/>
      <c r="AI214" s="131"/>
      <c r="AJ214" s="131"/>
      <c r="AK214" s="131"/>
      <c r="AL214" s="131"/>
      <c r="AM214" s="131"/>
      <c r="AN214" s="131"/>
      <c r="AO214" s="131"/>
    </row>
    <row r="215" spans="1:41" ht="12.75" customHeight="1" x14ac:dyDescent="0.25">
      <c r="A215" s="131"/>
      <c r="B215" s="131"/>
      <c r="C215" s="151"/>
      <c r="D215" s="152"/>
      <c r="E215" s="152"/>
      <c r="F215" s="152"/>
      <c r="G215" s="152"/>
      <c r="H215" s="152"/>
      <c r="I215" s="152"/>
      <c r="J215" s="131"/>
      <c r="K215" s="152"/>
      <c r="L215" s="152"/>
      <c r="M215" s="152"/>
      <c r="N215" s="153"/>
      <c r="O215" s="153"/>
      <c r="P215" s="153"/>
      <c r="Q215" s="153"/>
      <c r="R215" s="153"/>
      <c r="S215" s="153"/>
      <c r="T215" s="153"/>
      <c r="U215" s="153"/>
      <c r="V215" s="156"/>
      <c r="W215" s="131"/>
      <c r="X215" s="131"/>
      <c r="Y215" s="131"/>
      <c r="Z215" s="131"/>
      <c r="AA215" s="131"/>
      <c r="AB215" s="131"/>
      <c r="AC215" s="131"/>
      <c r="AD215" s="131"/>
      <c r="AE215" s="131"/>
      <c r="AF215" s="131"/>
      <c r="AG215" s="131"/>
      <c r="AH215" s="131"/>
      <c r="AI215" s="131"/>
      <c r="AJ215" s="131"/>
      <c r="AK215" s="131"/>
      <c r="AL215" s="131"/>
      <c r="AM215" s="131"/>
      <c r="AN215" s="131"/>
      <c r="AO215" s="131"/>
    </row>
    <row r="216" spans="1:41" ht="12.75" customHeight="1" x14ac:dyDescent="0.25">
      <c r="A216" s="131"/>
      <c r="B216" s="131"/>
      <c r="C216" s="151"/>
      <c r="D216" s="152"/>
      <c r="E216" s="152"/>
      <c r="F216" s="152"/>
      <c r="G216" s="152"/>
      <c r="H216" s="152"/>
      <c r="I216" s="152"/>
      <c r="J216" s="131"/>
      <c r="K216" s="152"/>
      <c r="L216" s="152"/>
      <c r="M216" s="152"/>
      <c r="N216" s="153"/>
      <c r="O216" s="153"/>
      <c r="P216" s="153"/>
      <c r="Q216" s="153"/>
      <c r="R216" s="153"/>
      <c r="S216" s="153"/>
      <c r="T216" s="153"/>
      <c r="U216" s="153"/>
      <c r="V216" s="156"/>
      <c r="W216" s="131"/>
      <c r="X216" s="131"/>
      <c r="Y216" s="131"/>
      <c r="Z216" s="131"/>
      <c r="AA216" s="131"/>
      <c r="AB216" s="131"/>
      <c r="AC216" s="131"/>
      <c r="AD216" s="131"/>
      <c r="AE216" s="131"/>
      <c r="AF216" s="131"/>
      <c r="AG216" s="131"/>
      <c r="AH216" s="131"/>
      <c r="AI216" s="131"/>
      <c r="AJ216" s="131"/>
      <c r="AK216" s="131"/>
      <c r="AL216" s="131"/>
      <c r="AM216" s="131"/>
      <c r="AN216" s="131"/>
      <c r="AO216" s="131"/>
    </row>
    <row r="217" spans="1:41" ht="12.75" customHeight="1" x14ac:dyDescent="0.25">
      <c r="A217" s="131"/>
      <c r="B217" s="131"/>
      <c r="C217" s="151"/>
      <c r="D217" s="152"/>
      <c r="E217" s="152"/>
      <c r="F217" s="152"/>
      <c r="G217" s="152"/>
      <c r="H217" s="152"/>
      <c r="I217" s="152"/>
      <c r="J217" s="131"/>
      <c r="K217" s="152"/>
      <c r="L217" s="152"/>
      <c r="M217" s="152"/>
      <c r="N217" s="153"/>
      <c r="O217" s="153"/>
      <c r="P217" s="153"/>
      <c r="Q217" s="153"/>
      <c r="R217" s="153"/>
      <c r="S217" s="153"/>
      <c r="T217" s="153"/>
      <c r="U217" s="153"/>
      <c r="V217" s="156"/>
      <c r="W217" s="131"/>
      <c r="X217" s="131"/>
      <c r="Y217" s="131"/>
      <c r="Z217" s="131"/>
      <c r="AA217" s="131"/>
      <c r="AB217" s="131"/>
      <c r="AC217" s="131"/>
      <c r="AD217" s="131"/>
      <c r="AE217" s="131"/>
      <c r="AF217" s="131"/>
      <c r="AG217" s="131"/>
      <c r="AH217" s="131"/>
      <c r="AI217" s="131"/>
      <c r="AJ217" s="131"/>
      <c r="AK217" s="131"/>
      <c r="AL217" s="131"/>
      <c r="AM217" s="131"/>
      <c r="AN217" s="131"/>
      <c r="AO217" s="131"/>
    </row>
    <row r="218" spans="1:41" ht="12.75" customHeight="1" x14ac:dyDescent="0.25">
      <c r="A218" s="131"/>
      <c r="B218" s="131"/>
      <c r="C218" s="151"/>
      <c r="D218" s="152"/>
      <c r="E218" s="152"/>
      <c r="F218" s="152"/>
      <c r="G218" s="152"/>
      <c r="H218" s="152"/>
      <c r="I218" s="152"/>
      <c r="J218" s="131"/>
      <c r="K218" s="152"/>
      <c r="L218" s="152"/>
      <c r="M218" s="152"/>
      <c r="N218" s="153"/>
      <c r="O218" s="153"/>
      <c r="P218" s="153"/>
      <c r="Q218" s="153"/>
      <c r="R218" s="153"/>
      <c r="S218" s="153"/>
      <c r="T218" s="153"/>
      <c r="U218" s="153"/>
      <c r="V218" s="156"/>
      <c r="W218" s="131"/>
      <c r="X218" s="131"/>
      <c r="Y218" s="131"/>
      <c r="Z218" s="131"/>
      <c r="AA218" s="131"/>
      <c r="AB218" s="131"/>
      <c r="AC218" s="131"/>
      <c r="AD218" s="131"/>
      <c r="AE218" s="131"/>
      <c r="AF218" s="131"/>
      <c r="AG218" s="131"/>
      <c r="AH218" s="131"/>
      <c r="AI218" s="131"/>
      <c r="AJ218" s="131"/>
      <c r="AK218" s="131"/>
      <c r="AL218" s="131"/>
      <c r="AM218" s="131"/>
      <c r="AN218" s="131"/>
      <c r="AO218" s="131"/>
    </row>
    <row r="219" spans="1:41" ht="12.75" customHeight="1" x14ac:dyDescent="0.25">
      <c r="A219" s="131"/>
      <c r="B219" s="131"/>
      <c r="C219" s="151"/>
      <c r="D219" s="152"/>
      <c r="E219" s="152"/>
      <c r="F219" s="152"/>
      <c r="G219" s="152"/>
      <c r="H219" s="152"/>
      <c r="I219" s="152"/>
      <c r="J219" s="131"/>
      <c r="K219" s="152"/>
      <c r="L219" s="152"/>
      <c r="M219" s="152"/>
      <c r="N219" s="153"/>
      <c r="O219" s="153"/>
      <c r="P219" s="153"/>
      <c r="Q219" s="153"/>
      <c r="R219" s="153"/>
      <c r="S219" s="153"/>
      <c r="T219" s="153"/>
      <c r="U219" s="153"/>
      <c r="V219" s="156"/>
      <c r="W219" s="131"/>
      <c r="X219" s="131"/>
      <c r="Y219" s="131"/>
      <c r="Z219" s="131"/>
      <c r="AA219" s="131"/>
      <c r="AB219" s="131"/>
      <c r="AC219" s="131"/>
      <c r="AD219" s="131"/>
      <c r="AE219" s="131"/>
      <c r="AF219" s="131"/>
      <c r="AG219" s="131"/>
      <c r="AH219" s="131"/>
      <c r="AI219" s="131"/>
      <c r="AJ219" s="131"/>
      <c r="AK219" s="131"/>
      <c r="AL219" s="131"/>
      <c r="AM219" s="131"/>
      <c r="AN219" s="131"/>
      <c r="AO219" s="131"/>
    </row>
    <row r="220" spans="1:41" ht="12.75" customHeight="1" x14ac:dyDescent="0.25">
      <c r="A220" s="131"/>
      <c r="B220" s="131"/>
      <c r="C220" s="151"/>
      <c r="D220" s="152"/>
      <c r="E220" s="152"/>
      <c r="F220" s="152"/>
      <c r="G220" s="152"/>
      <c r="H220" s="152"/>
      <c r="I220" s="152"/>
      <c r="J220" s="131"/>
      <c r="K220" s="152"/>
      <c r="L220" s="152"/>
      <c r="M220" s="152"/>
      <c r="N220" s="153"/>
      <c r="O220" s="153"/>
      <c r="P220" s="153"/>
      <c r="Q220" s="153"/>
      <c r="R220" s="153"/>
      <c r="S220" s="153"/>
      <c r="T220" s="153"/>
      <c r="U220" s="153"/>
      <c r="V220" s="156"/>
      <c r="W220" s="131"/>
      <c r="X220" s="131"/>
      <c r="Y220" s="131"/>
      <c r="Z220" s="131"/>
      <c r="AA220" s="131"/>
      <c r="AB220" s="131"/>
      <c r="AC220" s="131"/>
      <c r="AD220" s="131"/>
      <c r="AE220" s="131"/>
      <c r="AF220" s="131"/>
      <c r="AG220" s="131"/>
      <c r="AH220" s="131"/>
      <c r="AI220" s="131"/>
      <c r="AJ220" s="131"/>
      <c r="AK220" s="131"/>
      <c r="AL220" s="131"/>
      <c r="AM220" s="131"/>
      <c r="AN220" s="131"/>
      <c r="AO220" s="131"/>
    </row>
    <row r="221" spans="1:41" ht="12.75" customHeight="1" x14ac:dyDescent="0.25">
      <c r="A221" s="131"/>
      <c r="B221" s="131"/>
      <c r="C221" s="151"/>
      <c r="D221" s="152"/>
      <c r="E221" s="152"/>
      <c r="F221" s="152"/>
      <c r="G221" s="152"/>
      <c r="H221" s="152"/>
      <c r="I221" s="152"/>
      <c r="J221" s="131"/>
      <c r="K221" s="152"/>
      <c r="L221" s="152"/>
      <c r="M221" s="152"/>
      <c r="N221" s="153"/>
      <c r="O221" s="153"/>
      <c r="P221" s="153"/>
      <c r="Q221" s="153"/>
      <c r="R221" s="153"/>
      <c r="S221" s="153"/>
      <c r="T221" s="153"/>
      <c r="U221" s="153"/>
      <c r="V221" s="156"/>
      <c r="W221" s="131"/>
      <c r="X221" s="131"/>
      <c r="Y221" s="131"/>
      <c r="Z221" s="131"/>
      <c r="AA221" s="131"/>
      <c r="AB221" s="131"/>
      <c r="AC221" s="131"/>
      <c r="AD221" s="131"/>
      <c r="AE221" s="131"/>
      <c r="AF221" s="131"/>
      <c r="AG221" s="131"/>
      <c r="AH221" s="131"/>
      <c r="AI221" s="131"/>
      <c r="AJ221" s="131"/>
      <c r="AK221" s="131"/>
      <c r="AL221" s="131"/>
      <c r="AM221" s="131"/>
      <c r="AN221" s="131"/>
      <c r="AO221" s="131"/>
    </row>
    <row r="222" spans="1:41" ht="12.75" customHeight="1" x14ac:dyDescent="0.25">
      <c r="A222" s="131"/>
      <c r="B222" s="131"/>
      <c r="C222" s="151"/>
      <c r="D222" s="152"/>
      <c r="E222" s="152"/>
      <c r="F222" s="152"/>
      <c r="G222" s="152"/>
      <c r="H222" s="152"/>
      <c r="I222" s="152"/>
      <c r="J222" s="131"/>
      <c r="K222" s="152"/>
      <c r="L222" s="152"/>
      <c r="M222" s="152"/>
      <c r="N222" s="153"/>
      <c r="O222" s="153"/>
      <c r="P222" s="153"/>
      <c r="Q222" s="153"/>
      <c r="R222" s="153"/>
      <c r="S222" s="153"/>
      <c r="T222" s="153"/>
      <c r="U222" s="153"/>
      <c r="V222" s="156"/>
      <c r="W222" s="131"/>
      <c r="X222" s="131"/>
      <c r="Y222" s="131"/>
      <c r="Z222" s="131"/>
      <c r="AA222" s="131"/>
      <c r="AB222" s="131"/>
      <c r="AC222" s="131"/>
      <c r="AD222" s="131"/>
      <c r="AE222" s="131"/>
      <c r="AF222" s="131"/>
      <c r="AG222" s="131"/>
      <c r="AH222" s="131"/>
      <c r="AI222" s="131"/>
      <c r="AJ222" s="131"/>
      <c r="AK222" s="131"/>
      <c r="AL222" s="131"/>
      <c r="AM222" s="131"/>
      <c r="AN222" s="131"/>
      <c r="AO222" s="131"/>
    </row>
    <row r="223" spans="1:41" ht="12.75" customHeight="1" x14ac:dyDescent="0.25">
      <c r="A223" s="131"/>
      <c r="B223" s="131"/>
      <c r="C223" s="151"/>
      <c r="D223" s="152"/>
      <c r="E223" s="152"/>
      <c r="F223" s="152"/>
      <c r="G223" s="152"/>
      <c r="H223" s="152"/>
      <c r="I223" s="152"/>
      <c r="J223" s="131"/>
      <c r="K223" s="152"/>
      <c r="L223" s="152"/>
      <c r="M223" s="152"/>
      <c r="N223" s="153"/>
      <c r="O223" s="153"/>
      <c r="P223" s="153"/>
      <c r="Q223" s="153"/>
      <c r="R223" s="153"/>
      <c r="S223" s="153"/>
      <c r="T223" s="153"/>
      <c r="U223" s="153"/>
      <c r="V223" s="156"/>
      <c r="W223" s="131"/>
      <c r="X223" s="131"/>
      <c r="Y223" s="131"/>
      <c r="Z223" s="131"/>
      <c r="AA223" s="131"/>
      <c r="AB223" s="131"/>
      <c r="AC223" s="131"/>
      <c r="AD223" s="131"/>
      <c r="AE223" s="131"/>
      <c r="AF223" s="131"/>
      <c r="AG223" s="131"/>
      <c r="AH223" s="131"/>
      <c r="AI223" s="131"/>
      <c r="AJ223" s="131"/>
      <c r="AK223" s="131"/>
      <c r="AL223" s="131"/>
      <c r="AM223" s="131"/>
      <c r="AN223" s="131"/>
      <c r="AO223" s="131"/>
    </row>
    <row r="224" spans="1:41" ht="12.75" customHeight="1" x14ac:dyDescent="0.25">
      <c r="A224" s="131"/>
      <c r="B224" s="131"/>
      <c r="C224" s="151"/>
      <c r="D224" s="152"/>
      <c r="E224" s="152"/>
      <c r="F224" s="152"/>
      <c r="G224" s="152"/>
      <c r="H224" s="152"/>
      <c r="I224" s="152"/>
      <c r="J224" s="131"/>
      <c r="K224" s="152"/>
      <c r="L224" s="152"/>
      <c r="M224" s="152"/>
      <c r="N224" s="153"/>
      <c r="O224" s="153"/>
      <c r="P224" s="153"/>
      <c r="Q224" s="153"/>
      <c r="R224" s="153"/>
      <c r="S224" s="153"/>
      <c r="T224" s="153"/>
      <c r="U224" s="153"/>
      <c r="V224" s="156"/>
      <c r="W224" s="131"/>
      <c r="X224" s="131"/>
      <c r="Y224" s="131"/>
      <c r="Z224" s="131"/>
      <c r="AA224" s="131"/>
      <c r="AB224" s="131"/>
      <c r="AC224" s="131"/>
      <c r="AD224" s="131"/>
      <c r="AE224" s="131"/>
      <c r="AF224" s="131"/>
      <c r="AG224" s="131"/>
      <c r="AH224" s="131"/>
      <c r="AI224" s="131"/>
      <c r="AJ224" s="131"/>
      <c r="AK224" s="131"/>
      <c r="AL224" s="131"/>
      <c r="AM224" s="131"/>
      <c r="AN224" s="131"/>
      <c r="AO224" s="131"/>
    </row>
    <row r="225" spans="1:41" ht="12.75" customHeight="1" x14ac:dyDescent="0.25">
      <c r="A225" s="131"/>
      <c r="B225" s="131"/>
      <c r="C225" s="151"/>
      <c r="D225" s="152"/>
      <c r="E225" s="152"/>
      <c r="F225" s="152"/>
      <c r="G225" s="152"/>
      <c r="H225" s="152"/>
      <c r="I225" s="152"/>
      <c r="J225" s="131"/>
      <c r="K225" s="152"/>
      <c r="L225" s="152"/>
      <c r="M225" s="152"/>
      <c r="N225" s="153"/>
      <c r="O225" s="153"/>
      <c r="P225" s="153"/>
      <c r="Q225" s="153"/>
      <c r="R225" s="153"/>
      <c r="S225" s="153"/>
      <c r="T225" s="153"/>
      <c r="U225" s="153"/>
      <c r="V225" s="156"/>
      <c r="W225" s="131"/>
      <c r="X225" s="131"/>
      <c r="Y225" s="131"/>
      <c r="Z225" s="131"/>
      <c r="AA225" s="131"/>
      <c r="AB225" s="131"/>
      <c r="AC225" s="131"/>
      <c r="AD225" s="131"/>
      <c r="AE225" s="131"/>
      <c r="AF225" s="131"/>
      <c r="AG225" s="131"/>
      <c r="AH225" s="131"/>
      <c r="AI225" s="131"/>
      <c r="AJ225" s="131"/>
      <c r="AK225" s="131"/>
      <c r="AL225" s="131"/>
      <c r="AM225" s="131"/>
      <c r="AN225" s="131"/>
      <c r="AO225" s="131"/>
    </row>
    <row r="226" spans="1:41" ht="12.75" customHeight="1" x14ac:dyDescent="0.25">
      <c r="A226" s="131"/>
      <c r="B226" s="131"/>
      <c r="C226" s="151"/>
      <c r="D226" s="152"/>
      <c r="E226" s="152"/>
      <c r="F226" s="152"/>
      <c r="G226" s="152"/>
      <c r="H226" s="152"/>
      <c r="I226" s="152"/>
      <c r="J226" s="131"/>
      <c r="K226" s="152"/>
      <c r="L226" s="152"/>
      <c r="M226" s="152"/>
      <c r="N226" s="153"/>
      <c r="O226" s="153"/>
      <c r="P226" s="153"/>
      <c r="Q226" s="153"/>
      <c r="R226" s="153"/>
      <c r="S226" s="153"/>
      <c r="T226" s="153"/>
      <c r="U226" s="153"/>
      <c r="V226" s="156"/>
      <c r="W226" s="131"/>
      <c r="X226" s="131"/>
      <c r="Y226" s="131"/>
      <c r="Z226" s="131"/>
      <c r="AA226" s="131"/>
      <c r="AB226" s="131"/>
      <c r="AC226" s="131"/>
      <c r="AD226" s="131"/>
      <c r="AE226" s="131"/>
      <c r="AF226" s="131"/>
      <c r="AG226" s="131"/>
      <c r="AH226" s="131"/>
      <c r="AI226" s="131"/>
      <c r="AJ226" s="131"/>
      <c r="AK226" s="131"/>
      <c r="AL226" s="131"/>
      <c r="AM226" s="131"/>
      <c r="AN226" s="131"/>
      <c r="AO226" s="131"/>
    </row>
    <row r="227" spans="1:41" ht="12.75" customHeight="1" x14ac:dyDescent="0.25">
      <c r="A227" s="131"/>
      <c r="B227" s="131"/>
      <c r="C227" s="151"/>
      <c r="D227" s="152"/>
      <c r="E227" s="152"/>
      <c r="F227" s="152"/>
      <c r="G227" s="152"/>
      <c r="H227" s="152"/>
      <c r="I227" s="152"/>
      <c r="J227" s="131"/>
      <c r="K227" s="152"/>
      <c r="L227" s="152"/>
      <c r="M227" s="152"/>
      <c r="N227" s="153"/>
      <c r="O227" s="153"/>
      <c r="P227" s="153"/>
      <c r="Q227" s="153"/>
      <c r="R227" s="153"/>
      <c r="S227" s="153"/>
      <c r="T227" s="153"/>
      <c r="U227" s="153"/>
      <c r="V227" s="156"/>
      <c r="W227" s="131"/>
      <c r="X227" s="131"/>
      <c r="Y227" s="131"/>
      <c r="Z227" s="131"/>
      <c r="AA227" s="131"/>
      <c r="AB227" s="131"/>
      <c r="AC227" s="131"/>
      <c r="AD227" s="131"/>
      <c r="AE227" s="131"/>
      <c r="AF227" s="131"/>
      <c r="AG227" s="131"/>
      <c r="AH227" s="131"/>
      <c r="AI227" s="131"/>
      <c r="AJ227" s="131"/>
      <c r="AK227" s="131"/>
      <c r="AL227" s="131"/>
      <c r="AM227" s="131"/>
      <c r="AN227" s="131"/>
      <c r="AO227" s="131"/>
    </row>
    <row r="228" spans="1:41" ht="12.75" customHeight="1" x14ac:dyDescent="0.25">
      <c r="A228" s="131"/>
      <c r="B228" s="131"/>
      <c r="C228" s="151"/>
      <c r="D228" s="152"/>
      <c r="E228" s="152"/>
      <c r="F228" s="152"/>
      <c r="G228" s="152"/>
      <c r="H228" s="152"/>
      <c r="I228" s="152"/>
      <c r="J228" s="131"/>
      <c r="K228" s="152"/>
      <c r="L228" s="152"/>
      <c r="M228" s="152"/>
      <c r="N228" s="153"/>
      <c r="O228" s="153"/>
      <c r="P228" s="153"/>
      <c r="Q228" s="153"/>
      <c r="R228" s="153"/>
      <c r="S228" s="153"/>
      <c r="T228" s="153"/>
      <c r="U228" s="153"/>
      <c r="V228" s="156"/>
      <c r="W228" s="131"/>
      <c r="X228" s="131"/>
      <c r="Y228" s="131"/>
      <c r="Z228" s="131"/>
      <c r="AA228" s="131"/>
      <c r="AB228" s="131"/>
      <c r="AC228" s="131"/>
      <c r="AD228" s="131"/>
      <c r="AE228" s="131"/>
      <c r="AF228" s="131"/>
      <c r="AG228" s="131"/>
      <c r="AH228" s="131"/>
      <c r="AI228" s="131"/>
      <c r="AJ228" s="131"/>
      <c r="AK228" s="131"/>
      <c r="AL228" s="131"/>
      <c r="AM228" s="131"/>
      <c r="AN228" s="131"/>
      <c r="AO228" s="131"/>
    </row>
    <row r="229" spans="1:41" ht="12.75" customHeight="1" x14ac:dyDescent="0.25">
      <c r="A229" s="131"/>
      <c r="B229" s="131"/>
      <c r="C229" s="151"/>
      <c r="D229" s="152"/>
      <c r="E229" s="152"/>
      <c r="F229" s="152"/>
      <c r="G229" s="152"/>
      <c r="H229" s="152"/>
      <c r="I229" s="152"/>
      <c r="J229" s="131"/>
      <c r="K229" s="152"/>
      <c r="L229" s="152"/>
      <c r="M229" s="152"/>
      <c r="N229" s="153"/>
      <c r="O229" s="153"/>
      <c r="P229" s="153"/>
      <c r="Q229" s="153"/>
      <c r="R229" s="153"/>
      <c r="S229" s="153"/>
      <c r="T229" s="153"/>
      <c r="U229" s="153"/>
      <c r="V229" s="156"/>
      <c r="W229" s="131"/>
      <c r="X229" s="131"/>
      <c r="Y229" s="131"/>
      <c r="Z229" s="131"/>
      <c r="AA229" s="131"/>
      <c r="AB229" s="131"/>
      <c r="AC229" s="131"/>
      <c r="AD229" s="131"/>
      <c r="AE229" s="131"/>
      <c r="AF229" s="131"/>
      <c r="AG229" s="131"/>
      <c r="AH229" s="131"/>
      <c r="AI229" s="131"/>
      <c r="AJ229" s="131"/>
      <c r="AK229" s="131"/>
      <c r="AL229" s="131"/>
      <c r="AM229" s="131"/>
      <c r="AN229" s="131"/>
      <c r="AO229" s="131"/>
    </row>
    <row r="230" spans="1:41" ht="12.75" customHeight="1" x14ac:dyDescent="0.25">
      <c r="A230" s="131"/>
      <c r="B230" s="131"/>
      <c r="C230" s="151"/>
      <c r="D230" s="152"/>
      <c r="E230" s="152"/>
      <c r="F230" s="152"/>
      <c r="G230" s="152"/>
      <c r="H230" s="152"/>
      <c r="I230" s="152"/>
      <c r="J230" s="131"/>
      <c r="K230" s="152"/>
      <c r="L230" s="152"/>
      <c r="M230" s="152"/>
      <c r="N230" s="153"/>
      <c r="O230" s="153"/>
      <c r="P230" s="153"/>
      <c r="Q230" s="153"/>
      <c r="R230" s="153"/>
      <c r="S230" s="153"/>
      <c r="T230" s="153"/>
      <c r="U230" s="153"/>
      <c r="V230" s="156"/>
      <c r="W230" s="131"/>
      <c r="X230" s="131"/>
      <c r="Y230" s="131"/>
      <c r="Z230" s="131"/>
      <c r="AA230" s="131"/>
      <c r="AB230" s="131"/>
      <c r="AC230" s="131"/>
      <c r="AD230" s="131"/>
      <c r="AE230" s="131"/>
      <c r="AF230" s="131"/>
      <c r="AG230" s="131"/>
      <c r="AH230" s="131"/>
      <c r="AI230" s="131"/>
      <c r="AJ230" s="131"/>
      <c r="AK230" s="131"/>
      <c r="AL230" s="131"/>
      <c r="AM230" s="131"/>
      <c r="AN230" s="131"/>
      <c r="AO230" s="131"/>
    </row>
    <row r="231" spans="1:41" ht="12.75" customHeight="1" x14ac:dyDescent="0.25">
      <c r="A231" s="131"/>
      <c r="B231" s="131"/>
      <c r="C231" s="151"/>
      <c r="D231" s="152"/>
      <c r="E231" s="152"/>
      <c r="F231" s="152"/>
      <c r="G231" s="152"/>
      <c r="H231" s="152"/>
      <c r="I231" s="152"/>
      <c r="J231" s="131"/>
      <c r="K231" s="152"/>
      <c r="L231" s="152"/>
      <c r="M231" s="152"/>
      <c r="N231" s="153"/>
      <c r="O231" s="153"/>
      <c r="P231" s="153"/>
      <c r="Q231" s="153"/>
      <c r="R231" s="153"/>
      <c r="S231" s="153"/>
      <c r="T231" s="153"/>
      <c r="U231" s="153"/>
      <c r="V231" s="156"/>
      <c r="W231" s="131"/>
      <c r="X231" s="131"/>
      <c r="Y231" s="131"/>
      <c r="Z231" s="131"/>
      <c r="AA231" s="131"/>
      <c r="AB231" s="131"/>
      <c r="AC231" s="131"/>
      <c r="AD231" s="131"/>
      <c r="AE231" s="131"/>
      <c r="AF231" s="131"/>
      <c r="AG231" s="131"/>
      <c r="AH231" s="131"/>
      <c r="AI231" s="131"/>
      <c r="AJ231" s="131"/>
      <c r="AK231" s="131"/>
      <c r="AL231" s="131"/>
      <c r="AM231" s="131"/>
      <c r="AN231" s="131"/>
      <c r="AO231" s="131"/>
    </row>
    <row r="232" spans="1:41" ht="12.75" customHeight="1" x14ac:dyDescent="0.25">
      <c r="A232" s="131"/>
      <c r="B232" s="131"/>
      <c r="C232" s="151"/>
      <c r="D232" s="152"/>
      <c r="E232" s="152"/>
      <c r="F232" s="152"/>
      <c r="G232" s="152"/>
      <c r="H232" s="152"/>
      <c r="I232" s="152"/>
      <c r="J232" s="131"/>
      <c r="K232" s="152"/>
      <c r="L232" s="152"/>
      <c r="M232" s="152"/>
      <c r="N232" s="153"/>
      <c r="O232" s="153"/>
      <c r="P232" s="153"/>
      <c r="Q232" s="153"/>
      <c r="R232" s="153"/>
      <c r="S232" s="153"/>
      <c r="T232" s="153"/>
      <c r="U232" s="153"/>
      <c r="V232" s="156"/>
      <c r="W232" s="131"/>
      <c r="X232" s="131"/>
      <c r="Y232" s="131"/>
      <c r="Z232" s="131"/>
      <c r="AA232" s="131"/>
      <c r="AB232" s="131"/>
      <c r="AC232" s="131"/>
      <c r="AD232" s="131"/>
      <c r="AE232" s="131"/>
      <c r="AF232" s="131"/>
      <c r="AG232" s="131"/>
      <c r="AH232" s="131"/>
      <c r="AI232" s="131"/>
      <c r="AJ232" s="131"/>
      <c r="AK232" s="131"/>
      <c r="AL232" s="131"/>
      <c r="AM232" s="131"/>
      <c r="AN232" s="131"/>
      <c r="AO232" s="131"/>
    </row>
    <row r="233" spans="1:41" ht="12.75" customHeight="1" x14ac:dyDescent="0.25">
      <c r="A233" s="131"/>
      <c r="B233" s="131"/>
      <c r="C233" s="151"/>
      <c r="D233" s="152"/>
      <c r="E233" s="152"/>
      <c r="F233" s="152"/>
      <c r="G233" s="152"/>
      <c r="H233" s="152"/>
      <c r="I233" s="152"/>
      <c r="J233" s="131"/>
      <c r="K233" s="152"/>
      <c r="L233" s="152"/>
      <c r="M233" s="152"/>
      <c r="N233" s="153"/>
      <c r="O233" s="153"/>
      <c r="P233" s="153"/>
      <c r="Q233" s="153"/>
      <c r="R233" s="153"/>
      <c r="S233" s="153"/>
      <c r="T233" s="153"/>
      <c r="U233" s="153"/>
      <c r="V233" s="156"/>
      <c r="W233" s="131"/>
      <c r="X233" s="131"/>
      <c r="Y233" s="131"/>
      <c r="Z233" s="131"/>
      <c r="AA233" s="131"/>
      <c r="AB233" s="131"/>
      <c r="AC233" s="131"/>
      <c r="AD233" s="131"/>
      <c r="AE233" s="131"/>
      <c r="AF233" s="131"/>
      <c r="AG233" s="131"/>
      <c r="AH233" s="131"/>
      <c r="AI233" s="131"/>
      <c r="AJ233" s="131"/>
      <c r="AK233" s="131"/>
      <c r="AL233" s="131"/>
      <c r="AM233" s="131"/>
      <c r="AN233" s="131"/>
      <c r="AO233" s="131"/>
    </row>
    <row r="234" spans="1:41" ht="12.75" customHeight="1" x14ac:dyDescent="0.25">
      <c r="A234" s="131"/>
      <c r="B234" s="131"/>
      <c r="C234" s="151"/>
      <c r="D234" s="152"/>
      <c r="E234" s="152"/>
      <c r="F234" s="152"/>
      <c r="G234" s="152"/>
      <c r="H234" s="152"/>
      <c r="I234" s="152"/>
      <c r="J234" s="131"/>
      <c r="K234" s="152"/>
      <c r="L234" s="152"/>
      <c r="M234" s="152"/>
      <c r="N234" s="153"/>
      <c r="O234" s="153"/>
      <c r="P234" s="153"/>
      <c r="Q234" s="153"/>
      <c r="R234" s="153"/>
      <c r="S234" s="153"/>
      <c r="T234" s="153"/>
      <c r="U234" s="153"/>
      <c r="V234" s="156"/>
      <c r="W234" s="131"/>
      <c r="X234" s="131"/>
      <c r="Y234" s="131"/>
      <c r="Z234" s="131"/>
      <c r="AA234" s="131"/>
      <c r="AB234" s="131"/>
      <c r="AC234" s="131"/>
      <c r="AD234" s="131"/>
      <c r="AE234" s="131"/>
      <c r="AF234" s="131"/>
      <c r="AG234" s="131"/>
      <c r="AH234" s="131"/>
      <c r="AI234" s="131"/>
      <c r="AJ234" s="131"/>
      <c r="AK234" s="131"/>
      <c r="AL234" s="131"/>
      <c r="AM234" s="131"/>
      <c r="AN234" s="131"/>
      <c r="AO234" s="131"/>
    </row>
    <row r="235" spans="1:41" ht="12.75" customHeight="1" x14ac:dyDescent="0.25">
      <c r="A235" s="131"/>
      <c r="B235" s="131"/>
      <c r="C235" s="151"/>
      <c r="D235" s="152"/>
      <c r="E235" s="152"/>
      <c r="F235" s="152"/>
      <c r="G235" s="152"/>
      <c r="H235" s="152"/>
      <c r="I235" s="152"/>
      <c r="J235" s="131"/>
      <c r="K235" s="152"/>
      <c r="L235" s="152"/>
      <c r="M235" s="152"/>
      <c r="N235" s="153"/>
      <c r="O235" s="153"/>
      <c r="P235" s="153"/>
      <c r="Q235" s="153"/>
      <c r="R235" s="153"/>
      <c r="S235" s="153"/>
      <c r="T235" s="153"/>
      <c r="U235" s="153"/>
      <c r="V235" s="156"/>
      <c r="W235" s="131"/>
      <c r="X235" s="131"/>
      <c r="Y235" s="131"/>
      <c r="Z235" s="131"/>
      <c r="AA235" s="131"/>
      <c r="AB235" s="131"/>
      <c r="AC235" s="131"/>
      <c r="AD235" s="131"/>
      <c r="AE235" s="131"/>
      <c r="AF235" s="131"/>
      <c r="AG235" s="131"/>
      <c r="AH235" s="131"/>
      <c r="AI235" s="131"/>
      <c r="AJ235" s="131"/>
      <c r="AK235" s="131"/>
      <c r="AL235" s="131"/>
      <c r="AM235" s="131"/>
      <c r="AN235" s="131"/>
      <c r="AO235" s="131"/>
    </row>
    <row r="236" spans="1:41" ht="12.75" customHeight="1" x14ac:dyDescent="0.25">
      <c r="A236" s="131"/>
      <c r="B236" s="131"/>
      <c r="C236" s="151"/>
      <c r="D236" s="152"/>
      <c r="E236" s="152"/>
      <c r="F236" s="152"/>
      <c r="G236" s="152"/>
      <c r="H236" s="152"/>
      <c r="I236" s="152"/>
      <c r="J236" s="131"/>
      <c r="K236" s="152"/>
      <c r="L236" s="152"/>
      <c r="M236" s="152"/>
      <c r="N236" s="153"/>
      <c r="O236" s="153"/>
      <c r="P236" s="153"/>
      <c r="Q236" s="153"/>
      <c r="R236" s="153"/>
      <c r="S236" s="153"/>
      <c r="T236" s="153"/>
      <c r="U236" s="153"/>
      <c r="V236" s="156"/>
      <c r="W236" s="131"/>
      <c r="X236" s="131"/>
      <c r="Y236" s="131"/>
      <c r="Z236" s="131"/>
      <c r="AA236" s="131"/>
      <c r="AB236" s="131"/>
      <c r="AC236" s="131"/>
      <c r="AD236" s="131"/>
      <c r="AE236" s="131"/>
      <c r="AF236" s="131"/>
      <c r="AG236" s="131"/>
      <c r="AH236" s="131"/>
      <c r="AI236" s="131"/>
      <c r="AJ236" s="131"/>
      <c r="AK236" s="131"/>
      <c r="AL236" s="131"/>
      <c r="AM236" s="131"/>
      <c r="AN236" s="131"/>
      <c r="AO236" s="131"/>
    </row>
    <row r="237" spans="1:41" ht="12.75" customHeight="1" x14ac:dyDescent="0.25">
      <c r="A237" s="131"/>
      <c r="B237" s="131"/>
      <c r="C237" s="151"/>
      <c r="D237" s="152"/>
      <c r="E237" s="152"/>
      <c r="F237" s="152"/>
      <c r="G237" s="152"/>
      <c r="H237" s="152"/>
      <c r="I237" s="152"/>
      <c r="J237" s="131"/>
      <c r="K237" s="152"/>
      <c r="L237" s="152"/>
      <c r="M237" s="152"/>
      <c r="N237" s="153"/>
      <c r="O237" s="153"/>
      <c r="P237" s="153"/>
      <c r="Q237" s="153"/>
      <c r="R237" s="153"/>
      <c r="S237" s="153"/>
      <c r="T237" s="153"/>
      <c r="U237" s="153"/>
      <c r="V237" s="156"/>
      <c r="W237" s="131"/>
      <c r="X237" s="131"/>
      <c r="Y237" s="131"/>
      <c r="Z237" s="131"/>
      <c r="AA237" s="131"/>
      <c r="AB237" s="131"/>
      <c r="AC237" s="131"/>
      <c r="AD237" s="131"/>
      <c r="AE237" s="131"/>
      <c r="AF237" s="131"/>
      <c r="AG237" s="131"/>
      <c r="AH237" s="131"/>
      <c r="AI237" s="131"/>
      <c r="AJ237" s="131"/>
      <c r="AK237" s="131"/>
      <c r="AL237" s="131"/>
      <c r="AM237" s="131"/>
      <c r="AN237" s="131"/>
      <c r="AO237" s="131"/>
    </row>
    <row r="238" spans="1:41" ht="12.75" customHeight="1" x14ac:dyDescent="0.25">
      <c r="A238" s="131"/>
      <c r="B238" s="131"/>
      <c r="C238" s="151"/>
      <c r="D238" s="152"/>
      <c r="E238" s="152"/>
      <c r="F238" s="152"/>
      <c r="G238" s="152"/>
      <c r="H238" s="152"/>
      <c r="I238" s="152"/>
      <c r="J238" s="131"/>
      <c r="K238" s="152"/>
      <c r="L238" s="152"/>
      <c r="M238" s="152"/>
      <c r="N238" s="153"/>
      <c r="O238" s="153"/>
      <c r="P238" s="153"/>
      <c r="Q238" s="153"/>
      <c r="R238" s="153"/>
      <c r="S238" s="153"/>
      <c r="T238" s="153"/>
      <c r="U238" s="153"/>
      <c r="V238" s="156"/>
      <c r="W238" s="131"/>
      <c r="X238" s="131"/>
      <c r="Y238" s="131"/>
      <c r="Z238" s="131"/>
      <c r="AA238" s="131"/>
      <c r="AB238" s="131"/>
      <c r="AC238" s="131"/>
      <c r="AD238" s="131"/>
      <c r="AE238" s="131"/>
      <c r="AF238" s="131"/>
      <c r="AG238" s="131"/>
      <c r="AH238" s="131"/>
      <c r="AI238" s="131"/>
      <c r="AJ238" s="131"/>
      <c r="AK238" s="131"/>
      <c r="AL238" s="131"/>
      <c r="AM238" s="131"/>
      <c r="AN238" s="131"/>
      <c r="AO238" s="131"/>
    </row>
    <row r="239" spans="1:41" ht="12.75" customHeight="1" x14ac:dyDescent="0.25">
      <c r="A239" s="131"/>
      <c r="B239" s="131"/>
      <c r="C239" s="151"/>
      <c r="D239" s="152"/>
      <c r="E239" s="152"/>
      <c r="F239" s="152"/>
      <c r="G239" s="152"/>
      <c r="H239" s="152"/>
      <c r="I239" s="152"/>
      <c r="J239" s="131"/>
      <c r="K239" s="152"/>
      <c r="L239" s="152"/>
      <c r="M239" s="152"/>
      <c r="N239" s="153"/>
      <c r="O239" s="153"/>
      <c r="P239" s="153"/>
      <c r="Q239" s="153"/>
      <c r="R239" s="153"/>
      <c r="S239" s="153"/>
      <c r="T239" s="153"/>
      <c r="U239" s="153"/>
      <c r="V239" s="156"/>
      <c r="W239" s="131"/>
      <c r="X239" s="131"/>
      <c r="Y239" s="131"/>
      <c r="Z239" s="131"/>
      <c r="AA239" s="131"/>
      <c r="AB239" s="131"/>
      <c r="AC239" s="131"/>
      <c r="AD239" s="131"/>
      <c r="AE239" s="131"/>
      <c r="AF239" s="131"/>
      <c r="AG239" s="131"/>
      <c r="AH239" s="131"/>
      <c r="AI239" s="131"/>
      <c r="AJ239" s="131"/>
      <c r="AK239" s="131"/>
      <c r="AL239" s="131"/>
      <c r="AM239" s="131"/>
      <c r="AN239" s="131"/>
      <c r="AO239" s="131"/>
    </row>
    <row r="240" spans="1:41" ht="12.75" customHeight="1" x14ac:dyDescent="0.25">
      <c r="A240" s="131"/>
      <c r="B240" s="131"/>
      <c r="C240" s="151"/>
      <c r="D240" s="152"/>
      <c r="E240" s="152"/>
      <c r="F240" s="152"/>
      <c r="G240" s="152"/>
      <c r="H240" s="152"/>
      <c r="I240" s="152"/>
      <c r="J240" s="131"/>
      <c r="K240" s="152"/>
      <c r="L240" s="152"/>
      <c r="M240" s="152"/>
      <c r="N240" s="153"/>
      <c r="O240" s="153"/>
      <c r="P240" s="153"/>
      <c r="Q240" s="153"/>
      <c r="R240" s="153"/>
      <c r="S240" s="153"/>
      <c r="T240" s="153"/>
      <c r="U240" s="153"/>
      <c r="V240" s="156"/>
      <c r="W240" s="131"/>
      <c r="X240" s="131"/>
      <c r="Y240" s="131"/>
      <c r="Z240" s="131"/>
      <c r="AA240" s="131"/>
      <c r="AB240" s="131"/>
      <c r="AC240" s="131"/>
      <c r="AD240" s="131"/>
      <c r="AE240" s="131"/>
      <c r="AF240" s="131"/>
      <c r="AG240" s="131"/>
      <c r="AH240" s="131"/>
      <c r="AI240" s="131"/>
      <c r="AJ240" s="131"/>
      <c r="AK240" s="131"/>
      <c r="AL240" s="131"/>
      <c r="AM240" s="131"/>
      <c r="AN240" s="131"/>
      <c r="AO240" s="131"/>
    </row>
    <row r="241" spans="1:41" ht="12.75" customHeight="1" x14ac:dyDescent="0.25">
      <c r="A241" s="131"/>
      <c r="B241" s="131"/>
      <c r="C241" s="151"/>
      <c r="D241" s="152"/>
      <c r="E241" s="152"/>
      <c r="F241" s="152"/>
      <c r="G241" s="152"/>
      <c r="H241" s="152"/>
      <c r="I241" s="152"/>
      <c r="J241" s="131"/>
      <c r="K241" s="152"/>
      <c r="L241" s="152"/>
      <c r="M241" s="152"/>
      <c r="N241" s="153"/>
      <c r="O241" s="153"/>
      <c r="P241" s="153"/>
      <c r="Q241" s="153"/>
      <c r="R241" s="153"/>
      <c r="S241" s="153"/>
      <c r="T241" s="153"/>
      <c r="U241" s="153"/>
      <c r="V241" s="156"/>
      <c r="W241" s="131"/>
      <c r="X241" s="131"/>
      <c r="Y241" s="131"/>
      <c r="Z241" s="131"/>
      <c r="AA241" s="131"/>
      <c r="AB241" s="131"/>
      <c r="AC241" s="131"/>
      <c r="AD241" s="131"/>
      <c r="AE241" s="131"/>
      <c r="AF241" s="131"/>
      <c r="AG241" s="131"/>
      <c r="AH241" s="131"/>
      <c r="AI241" s="131"/>
      <c r="AJ241" s="131"/>
      <c r="AK241" s="131"/>
      <c r="AL241" s="131"/>
      <c r="AM241" s="131"/>
      <c r="AN241" s="131"/>
      <c r="AO241" s="131"/>
    </row>
    <row r="242" spans="1:41" ht="12.75" customHeight="1" x14ac:dyDescent="0.25">
      <c r="A242" s="131"/>
      <c r="B242" s="131"/>
      <c r="C242" s="151"/>
      <c r="D242" s="152"/>
      <c r="E242" s="152"/>
      <c r="F242" s="152"/>
      <c r="G242" s="152"/>
      <c r="H242" s="152"/>
      <c r="I242" s="152"/>
      <c r="J242" s="131"/>
      <c r="K242" s="152"/>
      <c r="L242" s="152"/>
      <c r="M242" s="152"/>
      <c r="N242" s="153"/>
      <c r="O242" s="153"/>
      <c r="P242" s="153"/>
      <c r="Q242" s="153"/>
      <c r="R242" s="153"/>
      <c r="S242" s="153"/>
      <c r="T242" s="153"/>
      <c r="U242" s="153"/>
      <c r="V242" s="156"/>
      <c r="W242" s="131"/>
      <c r="X242" s="131"/>
      <c r="Y242" s="131"/>
      <c r="Z242" s="131"/>
      <c r="AA242" s="131"/>
      <c r="AB242" s="131"/>
      <c r="AC242" s="131"/>
      <c r="AD242" s="131"/>
      <c r="AE242" s="131"/>
      <c r="AF242" s="131"/>
      <c r="AG242" s="131"/>
      <c r="AH242" s="131"/>
      <c r="AI242" s="131"/>
      <c r="AJ242" s="131"/>
      <c r="AK242" s="131"/>
      <c r="AL242" s="131"/>
      <c r="AM242" s="131"/>
      <c r="AN242" s="131"/>
      <c r="AO242" s="131"/>
    </row>
    <row r="243" spans="1:41" ht="12.75" customHeight="1" x14ac:dyDescent="0.25">
      <c r="A243" s="131"/>
      <c r="B243" s="131"/>
      <c r="C243" s="151"/>
      <c r="D243" s="152"/>
      <c r="E243" s="152"/>
      <c r="F243" s="152"/>
      <c r="G243" s="152"/>
      <c r="H243" s="152"/>
      <c r="I243" s="152"/>
      <c r="J243" s="131"/>
      <c r="K243" s="152"/>
      <c r="L243" s="152"/>
      <c r="M243" s="152"/>
      <c r="N243" s="153"/>
      <c r="O243" s="153"/>
      <c r="P243" s="153"/>
      <c r="Q243" s="153"/>
      <c r="R243" s="153"/>
      <c r="S243" s="153"/>
      <c r="T243" s="153"/>
      <c r="U243" s="153"/>
      <c r="V243" s="156"/>
      <c r="W243" s="131"/>
      <c r="X243" s="131"/>
      <c r="Y243" s="131"/>
      <c r="Z243" s="131"/>
      <c r="AA243" s="131"/>
      <c r="AB243" s="131"/>
      <c r="AC243" s="131"/>
      <c r="AD243" s="131"/>
      <c r="AE243" s="131"/>
      <c r="AF243" s="131"/>
      <c r="AG243" s="131"/>
      <c r="AH243" s="131"/>
      <c r="AI243" s="131"/>
      <c r="AJ243" s="131"/>
      <c r="AK243" s="131"/>
      <c r="AL243" s="131"/>
      <c r="AM243" s="131"/>
      <c r="AN243" s="131"/>
      <c r="AO243" s="131"/>
    </row>
    <row r="244" spans="1:41" ht="12.75" customHeight="1" x14ac:dyDescent="0.25">
      <c r="A244" s="131"/>
      <c r="B244" s="131"/>
      <c r="C244" s="151"/>
      <c r="D244" s="152"/>
      <c r="E244" s="152"/>
      <c r="F244" s="152"/>
      <c r="G244" s="152"/>
      <c r="H244" s="152"/>
      <c r="I244" s="152"/>
      <c r="J244" s="131"/>
      <c r="K244" s="152"/>
      <c r="L244" s="152"/>
      <c r="M244" s="152"/>
      <c r="N244" s="153"/>
      <c r="O244" s="153"/>
      <c r="P244" s="153"/>
      <c r="Q244" s="153"/>
      <c r="R244" s="153"/>
      <c r="S244" s="153"/>
      <c r="T244" s="153"/>
      <c r="U244" s="153"/>
      <c r="V244" s="156"/>
      <c r="W244" s="131"/>
      <c r="X244" s="131"/>
      <c r="Y244" s="131"/>
      <c r="Z244" s="131"/>
      <c r="AA244" s="131"/>
      <c r="AB244" s="131"/>
      <c r="AC244" s="131"/>
      <c r="AD244" s="131"/>
      <c r="AE244" s="131"/>
      <c r="AF244" s="131"/>
      <c r="AG244" s="131"/>
      <c r="AH244" s="131"/>
      <c r="AI244" s="131"/>
      <c r="AJ244" s="131"/>
      <c r="AK244" s="131"/>
      <c r="AL244" s="131"/>
      <c r="AM244" s="131"/>
      <c r="AN244" s="131"/>
      <c r="AO244" s="131"/>
    </row>
    <row r="245" spans="1:41" ht="12.75" customHeight="1" x14ac:dyDescent="0.25">
      <c r="A245" s="131"/>
      <c r="B245" s="131"/>
      <c r="C245" s="151"/>
      <c r="D245" s="152"/>
      <c r="E245" s="152"/>
      <c r="F245" s="152"/>
      <c r="G245" s="152"/>
      <c r="H245" s="152"/>
      <c r="I245" s="152"/>
      <c r="J245" s="131"/>
      <c r="K245" s="152"/>
      <c r="L245" s="152"/>
      <c r="M245" s="152"/>
      <c r="N245" s="153"/>
      <c r="O245" s="153"/>
      <c r="P245" s="153"/>
      <c r="Q245" s="153"/>
      <c r="R245" s="153"/>
      <c r="S245" s="153"/>
      <c r="T245" s="153"/>
      <c r="U245" s="153"/>
      <c r="V245" s="156"/>
      <c r="W245" s="131"/>
      <c r="X245" s="131"/>
      <c r="Y245" s="131"/>
      <c r="Z245" s="131"/>
      <c r="AA245" s="131"/>
      <c r="AB245" s="131"/>
      <c r="AC245" s="131"/>
      <c r="AD245" s="131"/>
      <c r="AE245" s="131"/>
      <c r="AF245" s="131"/>
      <c r="AG245" s="131"/>
      <c r="AH245" s="131"/>
      <c r="AI245" s="131"/>
      <c r="AJ245" s="131"/>
      <c r="AK245" s="131"/>
      <c r="AL245" s="131"/>
      <c r="AM245" s="131"/>
      <c r="AN245" s="131"/>
      <c r="AO245" s="131"/>
    </row>
    <row r="246" spans="1:41" ht="12.75" customHeight="1" x14ac:dyDescent="0.25">
      <c r="A246" s="131"/>
      <c r="B246" s="131"/>
      <c r="C246" s="151"/>
      <c r="D246" s="152"/>
      <c r="E246" s="152"/>
      <c r="F246" s="152"/>
      <c r="G246" s="152"/>
      <c r="H246" s="152"/>
      <c r="I246" s="152"/>
      <c r="J246" s="131"/>
      <c r="K246" s="152"/>
      <c r="L246" s="152"/>
      <c r="M246" s="152"/>
      <c r="N246" s="153"/>
      <c r="O246" s="153"/>
      <c r="P246" s="153"/>
      <c r="Q246" s="153"/>
      <c r="R246" s="153"/>
      <c r="S246" s="153"/>
      <c r="T246" s="153"/>
      <c r="U246" s="153"/>
      <c r="V246" s="156"/>
      <c r="W246" s="131"/>
      <c r="X246" s="131"/>
      <c r="Y246" s="131"/>
      <c r="Z246" s="131"/>
      <c r="AA246" s="131"/>
      <c r="AB246" s="131"/>
      <c r="AC246" s="131"/>
      <c r="AD246" s="131"/>
      <c r="AE246" s="131"/>
      <c r="AF246" s="131"/>
      <c r="AG246" s="131"/>
      <c r="AH246" s="131"/>
      <c r="AI246" s="131"/>
      <c r="AJ246" s="131"/>
      <c r="AK246" s="131"/>
      <c r="AL246" s="131"/>
      <c r="AM246" s="131"/>
      <c r="AN246" s="131"/>
      <c r="AO246" s="131"/>
    </row>
    <row r="247" spans="1:41" ht="12.75" customHeight="1" x14ac:dyDescent="0.25">
      <c r="A247" s="131"/>
      <c r="B247" s="131"/>
      <c r="C247" s="151"/>
      <c r="D247" s="152"/>
      <c r="E247" s="152"/>
      <c r="F247" s="152"/>
      <c r="G247" s="152"/>
      <c r="H247" s="152"/>
      <c r="I247" s="152"/>
      <c r="J247" s="131"/>
      <c r="K247" s="152"/>
      <c r="L247" s="152"/>
      <c r="M247" s="152"/>
      <c r="N247" s="153"/>
      <c r="O247" s="153"/>
      <c r="P247" s="153"/>
      <c r="Q247" s="153"/>
      <c r="R247" s="153"/>
      <c r="S247" s="153"/>
      <c r="T247" s="153"/>
      <c r="U247" s="153"/>
      <c r="V247" s="156"/>
      <c r="W247" s="131"/>
      <c r="X247" s="131"/>
      <c r="Y247" s="131"/>
      <c r="Z247" s="131"/>
      <c r="AA247" s="131"/>
      <c r="AB247" s="131"/>
      <c r="AC247" s="131"/>
      <c r="AD247" s="131"/>
      <c r="AE247" s="131"/>
      <c r="AF247" s="131"/>
      <c r="AG247" s="131"/>
      <c r="AH247" s="131"/>
      <c r="AI247" s="131"/>
      <c r="AJ247" s="131"/>
      <c r="AK247" s="131"/>
      <c r="AL247" s="131"/>
      <c r="AM247" s="131"/>
      <c r="AN247" s="131"/>
      <c r="AO247" s="131"/>
    </row>
    <row r="248" spans="1:41" ht="12.75" customHeight="1" x14ac:dyDescent="0.25">
      <c r="A248" s="131"/>
      <c r="B248" s="131"/>
      <c r="C248" s="151"/>
      <c r="D248" s="152"/>
      <c r="E248" s="152"/>
      <c r="F248" s="152"/>
      <c r="G248" s="152"/>
      <c r="H248" s="152"/>
      <c r="I248" s="152"/>
      <c r="J248" s="131"/>
      <c r="K248" s="152"/>
      <c r="L248" s="152"/>
      <c r="M248" s="152"/>
      <c r="N248" s="153"/>
      <c r="O248" s="153"/>
      <c r="P248" s="153"/>
      <c r="Q248" s="153"/>
      <c r="R248" s="153"/>
      <c r="S248" s="153"/>
      <c r="T248" s="153"/>
      <c r="U248" s="153"/>
      <c r="V248" s="156"/>
      <c r="W248" s="131"/>
      <c r="X248" s="131"/>
      <c r="Y248" s="131"/>
      <c r="Z248" s="131"/>
      <c r="AA248" s="131"/>
      <c r="AB248" s="131"/>
      <c r="AC248" s="131"/>
      <c r="AD248" s="131"/>
      <c r="AE248" s="131"/>
      <c r="AF248" s="131"/>
      <c r="AG248" s="131"/>
      <c r="AH248" s="131"/>
      <c r="AI248" s="131"/>
      <c r="AJ248" s="131"/>
      <c r="AK248" s="131"/>
      <c r="AL248" s="131"/>
      <c r="AM248" s="131"/>
      <c r="AN248" s="131"/>
      <c r="AO248" s="131"/>
    </row>
    <row r="249" spans="1:41" ht="12.75" customHeight="1" x14ac:dyDescent="0.25">
      <c r="A249" s="131"/>
      <c r="B249" s="131"/>
      <c r="C249" s="151"/>
      <c r="D249" s="152"/>
      <c r="E249" s="152"/>
      <c r="F249" s="152"/>
      <c r="G249" s="152"/>
      <c r="H249" s="152"/>
      <c r="I249" s="152"/>
      <c r="J249" s="131"/>
      <c r="K249" s="152"/>
      <c r="L249" s="152"/>
      <c r="M249" s="152"/>
      <c r="N249" s="153"/>
      <c r="O249" s="153"/>
      <c r="P249" s="153"/>
      <c r="Q249" s="153"/>
      <c r="R249" s="153"/>
      <c r="S249" s="153"/>
      <c r="T249" s="153"/>
      <c r="U249" s="153"/>
      <c r="V249" s="156"/>
      <c r="W249" s="131"/>
      <c r="X249" s="131"/>
      <c r="Y249" s="131"/>
      <c r="Z249" s="131"/>
      <c r="AA249" s="131"/>
      <c r="AB249" s="131"/>
      <c r="AC249" s="131"/>
      <c r="AD249" s="131"/>
      <c r="AE249" s="131"/>
      <c r="AF249" s="131"/>
      <c r="AG249" s="131"/>
      <c r="AH249" s="131"/>
      <c r="AI249" s="131"/>
      <c r="AJ249" s="131"/>
      <c r="AK249" s="131"/>
      <c r="AL249" s="131"/>
      <c r="AM249" s="131"/>
      <c r="AN249" s="131"/>
      <c r="AO249" s="131"/>
    </row>
    <row r="250" spans="1:41" ht="12.75" customHeight="1" x14ac:dyDescent="0.25">
      <c r="A250" s="131"/>
      <c r="B250" s="131"/>
      <c r="C250" s="151"/>
      <c r="D250" s="152"/>
      <c r="E250" s="152"/>
      <c r="F250" s="152"/>
      <c r="G250" s="152"/>
      <c r="H250" s="152"/>
      <c r="I250" s="152"/>
      <c r="J250" s="131"/>
      <c r="K250" s="152"/>
      <c r="L250" s="152"/>
      <c r="M250" s="152"/>
      <c r="N250" s="153"/>
      <c r="O250" s="153"/>
      <c r="P250" s="153"/>
      <c r="Q250" s="153"/>
      <c r="R250" s="153"/>
      <c r="S250" s="153"/>
      <c r="T250" s="153"/>
      <c r="U250" s="153"/>
      <c r="V250" s="156"/>
      <c r="W250" s="131"/>
      <c r="X250" s="131"/>
      <c r="Y250" s="131"/>
      <c r="Z250" s="131"/>
      <c r="AA250" s="131"/>
      <c r="AB250" s="131"/>
      <c r="AC250" s="131"/>
      <c r="AD250" s="131"/>
      <c r="AE250" s="131"/>
      <c r="AF250" s="131"/>
      <c r="AG250" s="131"/>
      <c r="AH250" s="131"/>
      <c r="AI250" s="131"/>
      <c r="AJ250" s="131"/>
      <c r="AK250" s="131"/>
      <c r="AL250" s="131"/>
      <c r="AM250" s="131"/>
      <c r="AN250" s="131"/>
      <c r="AO250" s="131"/>
    </row>
    <row r="251" spans="1:41" ht="12.75" customHeight="1" x14ac:dyDescent="0.25">
      <c r="A251" s="131"/>
      <c r="B251" s="131"/>
      <c r="C251" s="151"/>
      <c r="D251" s="152"/>
      <c r="E251" s="152"/>
      <c r="F251" s="152"/>
      <c r="G251" s="152"/>
      <c r="H251" s="152"/>
      <c r="I251" s="152"/>
      <c r="J251" s="131"/>
      <c r="K251" s="152"/>
      <c r="L251" s="152"/>
      <c r="M251" s="152"/>
      <c r="N251" s="153"/>
      <c r="O251" s="153"/>
      <c r="P251" s="153"/>
      <c r="Q251" s="153"/>
      <c r="R251" s="153"/>
      <c r="S251" s="153"/>
      <c r="T251" s="153"/>
      <c r="U251" s="153"/>
      <c r="V251" s="156"/>
      <c r="W251" s="131"/>
      <c r="X251" s="131"/>
      <c r="Y251" s="131"/>
      <c r="Z251" s="131"/>
      <c r="AA251" s="131"/>
      <c r="AB251" s="131"/>
      <c r="AC251" s="131"/>
      <c r="AD251" s="131"/>
      <c r="AE251" s="131"/>
      <c r="AF251" s="131"/>
      <c r="AG251" s="131"/>
      <c r="AH251" s="131"/>
      <c r="AI251" s="131"/>
      <c r="AJ251" s="131"/>
      <c r="AK251" s="131"/>
      <c r="AL251" s="131"/>
      <c r="AM251" s="131"/>
      <c r="AN251" s="131"/>
      <c r="AO251" s="131"/>
    </row>
    <row r="252" spans="1:41" ht="12.75" customHeight="1" x14ac:dyDescent="0.25">
      <c r="A252" s="131"/>
      <c r="B252" s="131"/>
      <c r="C252" s="151"/>
      <c r="D252" s="152"/>
      <c r="E252" s="152"/>
      <c r="F252" s="152"/>
      <c r="G252" s="152"/>
      <c r="H252" s="152"/>
      <c r="I252" s="152"/>
      <c r="J252" s="131"/>
      <c r="K252" s="152"/>
      <c r="L252" s="152"/>
      <c r="M252" s="152"/>
      <c r="N252" s="153"/>
      <c r="O252" s="153"/>
      <c r="P252" s="153"/>
      <c r="Q252" s="153"/>
      <c r="R252" s="153"/>
      <c r="S252" s="153"/>
      <c r="T252" s="153"/>
      <c r="U252" s="153"/>
      <c r="V252" s="156"/>
      <c r="W252" s="131"/>
      <c r="X252" s="131"/>
      <c r="Y252" s="131"/>
      <c r="Z252" s="131"/>
      <c r="AA252" s="131"/>
      <c r="AB252" s="131"/>
      <c r="AC252" s="131"/>
      <c r="AD252" s="131"/>
      <c r="AE252" s="131"/>
      <c r="AF252" s="131"/>
      <c r="AG252" s="131"/>
      <c r="AH252" s="131"/>
      <c r="AI252" s="131"/>
      <c r="AJ252" s="131"/>
      <c r="AK252" s="131"/>
      <c r="AL252" s="131"/>
      <c r="AM252" s="131"/>
      <c r="AN252" s="131"/>
      <c r="AO252" s="131"/>
    </row>
    <row r="253" spans="1:41" ht="12.75" customHeight="1" x14ac:dyDescent="0.25">
      <c r="A253" s="131"/>
      <c r="B253" s="131"/>
      <c r="C253" s="151"/>
      <c r="D253" s="152"/>
      <c r="E253" s="152"/>
      <c r="F253" s="152"/>
      <c r="G253" s="152"/>
      <c r="H253" s="152"/>
      <c r="I253" s="152"/>
      <c r="J253" s="131"/>
      <c r="K253" s="152"/>
      <c r="L253" s="152"/>
      <c r="M253" s="152"/>
      <c r="N253" s="153"/>
      <c r="O253" s="153"/>
      <c r="P253" s="153"/>
      <c r="Q253" s="153"/>
      <c r="R253" s="153"/>
      <c r="S253" s="153"/>
      <c r="T253" s="153"/>
      <c r="U253" s="153"/>
      <c r="V253" s="156"/>
      <c r="W253" s="131"/>
      <c r="X253" s="131"/>
      <c r="Y253" s="131"/>
      <c r="Z253" s="131"/>
      <c r="AA253" s="131"/>
      <c r="AB253" s="131"/>
      <c r="AC253" s="131"/>
      <c r="AD253" s="131"/>
      <c r="AE253" s="131"/>
      <c r="AF253" s="131"/>
      <c r="AG253" s="131"/>
      <c r="AH253" s="131"/>
      <c r="AI253" s="131"/>
      <c r="AJ253" s="131"/>
      <c r="AK253" s="131"/>
      <c r="AL253" s="131"/>
      <c r="AM253" s="131"/>
      <c r="AN253" s="131"/>
      <c r="AO253" s="131"/>
    </row>
    <row r="254" spans="1:41" ht="15.75" customHeight="1" x14ac:dyDescent="0.25"/>
    <row r="255" spans="1:41" ht="15.75" customHeight="1" x14ac:dyDescent="0.25"/>
    <row r="256" spans="1:41"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6">
    <mergeCell ref="W52:AO52"/>
    <mergeCell ref="T11:T12"/>
    <mergeCell ref="U11:U12"/>
    <mergeCell ref="T13:T14"/>
    <mergeCell ref="U13:U14"/>
    <mergeCell ref="V13:V14"/>
    <mergeCell ref="V15:V16"/>
    <mergeCell ref="V17:V18"/>
    <mergeCell ref="U27:U28"/>
    <mergeCell ref="V27:V28"/>
    <mergeCell ref="U25:U26"/>
    <mergeCell ref="U29:U30"/>
    <mergeCell ref="V29:V30"/>
    <mergeCell ref="U31:U32"/>
    <mergeCell ref="V31:V32"/>
    <mergeCell ref="U33:U34"/>
    <mergeCell ref="V33:V34"/>
    <mergeCell ref="T15:T18"/>
    <mergeCell ref="T19:T22"/>
    <mergeCell ref="T23:T28"/>
    <mergeCell ref="U23:U24"/>
    <mergeCell ref="V23:V24"/>
    <mergeCell ref="V25:V26"/>
    <mergeCell ref="T29:T34"/>
    <mergeCell ref="C52:H52"/>
    <mergeCell ref="C53:H53"/>
    <mergeCell ref="I53:Q53"/>
    <mergeCell ref="U45:U46"/>
    <mergeCell ref="V45:V46"/>
    <mergeCell ref="A47:S47"/>
    <mergeCell ref="C51:H51"/>
    <mergeCell ref="I51:Q51"/>
    <mergeCell ref="I52:Q52"/>
    <mergeCell ref="C45:C46"/>
    <mergeCell ref="D45:D46"/>
    <mergeCell ref="E45:E46"/>
    <mergeCell ref="D43:D44"/>
    <mergeCell ref="E43:E44"/>
    <mergeCell ref="V41:V42"/>
    <mergeCell ref="U43:U44"/>
    <mergeCell ref="V43:V44"/>
    <mergeCell ref="T35:T36"/>
    <mergeCell ref="U35:U36"/>
    <mergeCell ref="V35:V36"/>
    <mergeCell ref="T37:T46"/>
    <mergeCell ref="U37:U38"/>
    <mergeCell ref="V37:V38"/>
    <mergeCell ref="V39:V40"/>
    <mergeCell ref="U39:U40"/>
    <mergeCell ref="U41:U42"/>
    <mergeCell ref="C37:C38"/>
    <mergeCell ref="C39:C40"/>
    <mergeCell ref="C41:C42"/>
    <mergeCell ref="D35:D36"/>
    <mergeCell ref="E35:E36"/>
    <mergeCell ref="D37:D38"/>
    <mergeCell ref="E37:E38"/>
    <mergeCell ref="D39:D42"/>
    <mergeCell ref="E39:E42"/>
    <mergeCell ref="A9:A14"/>
    <mergeCell ref="B13:B14"/>
    <mergeCell ref="C13:C14"/>
    <mergeCell ref="D13:D14"/>
    <mergeCell ref="E13:E14"/>
    <mergeCell ref="A15:A36"/>
    <mergeCell ref="E15:E16"/>
    <mergeCell ref="C43:C44"/>
    <mergeCell ref="B19:B22"/>
    <mergeCell ref="C19:C20"/>
    <mergeCell ref="C21:C22"/>
    <mergeCell ref="D21:D22"/>
    <mergeCell ref="E21:E22"/>
    <mergeCell ref="B23:B28"/>
    <mergeCell ref="C23:C24"/>
    <mergeCell ref="C25:C26"/>
    <mergeCell ref="C15:C16"/>
    <mergeCell ref="D15:D16"/>
    <mergeCell ref="B15:B18"/>
    <mergeCell ref="C17:C18"/>
    <mergeCell ref="B35:B36"/>
    <mergeCell ref="C35:C36"/>
    <mergeCell ref="A37:A46"/>
    <mergeCell ref="B37:B46"/>
    <mergeCell ref="V19:V20"/>
    <mergeCell ref="V21:V22"/>
    <mergeCell ref="B29:B34"/>
    <mergeCell ref="C29:C30"/>
    <mergeCell ref="C31:C32"/>
    <mergeCell ref="C33:C34"/>
    <mergeCell ref="D31:D32"/>
    <mergeCell ref="E31:E32"/>
    <mergeCell ref="D33:D34"/>
    <mergeCell ref="E33:E34"/>
    <mergeCell ref="C27:C28"/>
    <mergeCell ref="D23:D24"/>
    <mergeCell ref="E23:E24"/>
    <mergeCell ref="D25:D26"/>
    <mergeCell ref="E25:E26"/>
    <mergeCell ref="D27:D28"/>
    <mergeCell ref="E27:E28"/>
    <mergeCell ref="D29:D30"/>
    <mergeCell ref="E29:E30"/>
    <mergeCell ref="U15:U16"/>
    <mergeCell ref="U17:U18"/>
    <mergeCell ref="U19:U20"/>
    <mergeCell ref="U21:U22"/>
    <mergeCell ref="D19:D20"/>
    <mergeCell ref="E19:E20"/>
    <mergeCell ref="B9:B10"/>
    <mergeCell ref="C9:C10"/>
    <mergeCell ref="D9:D10"/>
    <mergeCell ref="U9:U10"/>
    <mergeCell ref="V9:V10"/>
    <mergeCell ref="B11:B12"/>
    <mergeCell ref="C11:C12"/>
    <mergeCell ref="D11:D12"/>
    <mergeCell ref="E11:E12"/>
    <mergeCell ref="E9:E10"/>
    <mergeCell ref="T9:T10"/>
    <mergeCell ref="V11:V12"/>
    <mergeCell ref="A1:C3"/>
    <mergeCell ref="D1:V1"/>
    <mergeCell ref="D2:V2"/>
    <mergeCell ref="D3:U3"/>
    <mergeCell ref="A4:C4"/>
    <mergeCell ref="D4:V4"/>
    <mergeCell ref="A5:C5"/>
    <mergeCell ref="T7:U7"/>
    <mergeCell ref="V7:V8"/>
    <mergeCell ref="B7:B8"/>
    <mergeCell ref="D5:V5"/>
    <mergeCell ref="A6:V6"/>
    <mergeCell ref="A7:A8"/>
    <mergeCell ref="C7:C8"/>
    <mergeCell ref="D7:E7"/>
    <mergeCell ref="F7:S7"/>
  </mergeCells>
  <dataValidations count="1">
    <dataValidation type="custom" allowBlank="1" showErrorMessage="1" sqref="V9 V11 V13 V15 V17 V19 V21 V23 V25 V27 V29 V31 V33 V35 V37 V39 V41 V43 V45" xr:uid="{00000000-0002-0000-0200-000000000000}">
      <formula1>LTE(LEN(V9),(2000))</formula1>
    </dataValidation>
  </dataValidations>
  <printOptions horizontalCentered="1" verticalCentered="1"/>
  <pageMargins left="0" right="0" top="0.55118110236220474" bottom="0" header="0" footer="0"/>
  <pageSetup scale="35"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907"/>
  <sheetViews>
    <sheetView zoomScale="51" zoomScaleNormal="51" workbookViewId="0">
      <selection activeCell="L21" sqref="L21"/>
    </sheetView>
  </sheetViews>
  <sheetFormatPr baseColWidth="10" defaultColWidth="14.42578125" defaultRowHeight="15" customHeight="1" x14ac:dyDescent="0.25"/>
  <cols>
    <col min="1" max="1" width="10.7109375" style="551" customWidth="1"/>
    <col min="2" max="2" width="16.42578125" style="551" customWidth="1"/>
    <col min="3" max="3" width="26.28515625" style="551" customWidth="1"/>
    <col min="4" max="4" width="10.7109375" style="551" customWidth="1"/>
    <col min="5" max="10" width="23.140625" style="551" customWidth="1"/>
    <col min="11" max="12" width="22" style="551" customWidth="1"/>
    <col min="13" max="13" width="21.85546875" style="551" customWidth="1"/>
    <col min="14" max="14" width="20.85546875" style="551" customWidth="1"/>
    <col min="15" max="17" width="17.28515625" style="551" customWidth="1"/>
    <col min="18" max="18" width="17.5703125" style="551" customWidth="1"/>
    <col min="19" max="19" width="17.28515625" style="551" customWidth="1"/>
    <col min="20" max="25" width="25.140625" style="551" customWidth="1"/>
    <col min="26" max="26" width="22.28515625" style="551" customWidth="1"/>
    <col min="27" max="27" width="20.7109375" style="551" customWidth="1"/>
    <col min="28" max="28" width="16.7109375" style="551" bestFit="1" customWidth="1"/>
    <col min="29" max="29" width="17" style="551" customWidth="1"/>
    <col min="30" max="30" width="18" style="551" customWidth="1"/>
    <col min="31" max="31" width="16.28515625" style="551" bestFit="1" customWidth="1"/>
    <col min="32" max="32" width="33.85546875" style="551" customWidth="1"/>
    <col min="33" max="33" width="18.42578125" style="551" customWidth="1"/>
    <col min="34" max="34" width="11.5703125" style="551" customWidth="1"/>
    <col min="35" max="35" width="23.140625" style="551" customWidth="1"/>
    <col min="36" max="36" width="15.85546875" style="551" customWidth="1"/>
    <col min="37" max="37" width="11.42578125" style="551" customWidth="1"/>
    <col min="38" max="38" width="28.28515625" style="551" customWidth="1"/>
    <col min="39" max="39" width="16.42578125" style="551" customWidth="1"/>
    <col min="40" max="40" width="11.7109375" style="551" customWidth="1"/>
    <col min="41" max="42" width="11.5703125" style="551" customWidth="1"/>
    <col min="43" max="49" width="11.42578125" style="551" customWidth="1"/>
    <col min="50" max="50" width="11.5703125" style="551" customWidth="1"/>
    <col min="51" max="51" width="11.42578125" style="551" customWidth="1"/>
    <col min="52" max="16384" width="14.42578125" style="551"/>
  </cols>
  <sheetData>
    <row r="1" spans="1:51" x14ac:dyDescent="0.25">
      <c r="A1" s="930"/>
      <c r="B1" s="921"/>
      <c r="C1" s="921"/>
      <c r="D1" s="921"/>
      <c r="E1" s="931" t="s">
        <v>0</v>
      </c>
      <c r="F1" s="802"/>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2"/>
      <c r="AY1" s="803"/>
    </row>
    <row r="2" spans="1:51" ht="16.5" customHeight="1" thickBot="1" x14ac:dyDescent="0.3">
      <c r="A2" s="812"/>
      <c r="B2" s="813"/>
      <c r="C2" s="813"/>
      <c r="D2" s="813"/>
      <c r="E2" s="932" t="s">
        <v>451</v>
      </c>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c r="AE2" s="810"/>
      <c r="AF2" s="810"/>
      <c r="AG2" s="810"/>
      <c r="AH2" s="810"/>
      <c r="AI2" s="810"/>
      <c r="AJ2" s="810"/>
      <c r="AK2" s="810"/>
      <c r="AL2" s="810"/>
      <c r="AM2" s="810"/>
      <c r="AN2" s="810"/>
      <c r="AO2" s="810"/>
      <c r="AP2" s="810"/>
      <c r="AQ2" s="810"/>
      <c r="AR2" s="810"/>
      <c r="AS2" s="810"/>
      <c r="AT2" s="810"/>
      <c r="AU2" s="810"/>
      <c r="AV2" s="810"/>
      <c r="AW2" s="810"/>
      <c r="AX2" s="810"/>
      <c r="AY2" s="811"/>
    </row>
    <row r="3" spans="1:51" ht="16.5" customHeight="1" thickBot="1" x14ac:dyDescent="0.3">
      <c r="A3" s="812"/>
      <c r="B3" s="813"/>
      <c r="C3" s="813"/>
      <c r="D3" s="813"/>
      <c r="E3" s="933" t="s">
        <v>389</v>
      </c>
      <c r="F3" s="921"/>
      <c r="G3" s="921"/>
      <c r="H3" s="921"/>
      <c r="I3" s="921"/>
      <c r="J3" s="921"/>
      <c r="K3" s="921"/>
      <c r="L3" s="921"/>
      <c r="M3" s="921"/>
      <c r="N3" s="921"/>
      <c r="O3" s="921"/>
      <c r="P3" s="921"/>
      <c r="Q3" s="921"/>
      <c r="R3" s="921"/>
      <c r="S3" s="921"/>
      <c r="T3" s="921"/>
      <c r="U3" s="921"/>
      <c r="V3" s="921"/>
      <c r="W3" s="921"/>
      <c r="X3" s="921"/>
      <c r="Y3" s="921"/>
      <c r="Z3" s="921"/>
      <c r="AA3" s="921"/>
      <c r="AB3" s="921"/>
      <c r="AC3" s="921"/>
      <c r="AD3" s="922"/>
      <c r="AE3" s="934" t="s">
        <v>452</v>
      </c>
      <c r="AF3" s="921"/>
      <c r="AG3" s="921"/>
      <c r="AH3" s="921"/>
      <c r="AI3" s="921"/>
      <c r="AJ3" s="921"/>
      <c r="AK3" s="921"/>
      <c r="AL3" s="921"/>
      <c r="AM3" s="921"/>
      <c r="AN3" s="921"/>
      <c r="AO3" s="921"/>
      <c r="AP3" s="921"/>
      <c r="AQ3" s="921"/>
      <c r="AR3" s="921"/>
      <c r="AS3" s="921"/>
      <c r="AT3" s="921"/>
      <c r="AU3" s="921"/>
      <c r="AV3" s="921"/>
      <c r="AW3" s="921"/>
      <c r="AX3" s="921"/>
      <c r="AY3" s="922"/>
    </row>
    <row r="4" spans="1:51" ht="18.75" thickBot="1" x14ac:dyDescent="0.3">
      <c r="A4" s="935" t="s">
        <v>4</v>
      </c>
      <c r="B4" s="914"/>
      <c r="C4" s="914"/>
      <c r="D4" s="915"/>
      <c r="E4" s="936" t="s">
        <v>209</v>
      </c>
      <c r="F4" s="914"/>
      <c r="G4" s="914"/>
      <c r="H4" s="914"/>
      <c r="I4" s="914"/>
      <c r="J4" s="914"/>
      <c r="K4" s="914"/>
      <c r="L4" s="914"/>
      <c r="M4" s="914"/>
      <c r="N4" s="914"/>
      <c r="O4" s="914"/>
      <c r="P4" s="914"/>
      <c r="Q4" s="914"/>
      <c r="R4" s="914"/>
      <c r="S4" s="914"/>
      <c r="T4" s="914"/>
      <c r="U4" s="914"/>
      <c r="V4" s="914"/>
      <c r="W4" s="914"/>
      <c r="X4" s="914"/>
      <c r="Y4" s="914"/>
      <c r="Z4" s="914"/>
      <c r="AA4" s="914"/>
      <c r="AB4" s="914"/>
      <c r="AC4" s="914"/>
      <c r="AD4" s="914"/>
      <c r="AE4" s="914"/>
      <c r="AF4" s="914"/>
      <c r="AG4" s="914"/>
      <c r="AH4" s="914"/>
      <c r="AI4" s="914"/>
      <c r="AJ4" s="914"/>
      <c r="AK4" s="914"/>
      <c r="AL4" s="914"/>
      <c r="AM4" s="914"/>
      <c r="AN4" s="914"/>
      <c r="AO4" s="914"/>
      <c r="AP4" s="914"/>
      <c r="AQ4" s="914"/>
      <c r="AR4" s="914"/>
      <c r="AS4" s="914"/>
      <c r="AT4" s="914"/>
      <c r="AU4" s="914"/>
      <c r="AV4" s="914"/>
      <c r="AW4" s="914"/>
      <c r="AX4" s="914"/>
      <c r="AY4" s="915"/>
    </row>
    <row r="5" spans="1:51" ht="18.75" customHeight="1" thickBot="1" x14ac:dyDescent="0.3">
      <c r="A5" s="913" t="s">
        <v>5</v>
      </c>
      <c r="B5" s="914"/>
      <c r="C5" s="914"/>
      <c r="D5" s="915"/>
      <c r="E5" s="916" t="s">
        <v>453</v>
      </c>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c r="AG5" s="914"/>
      <c r="AH5" s="914"/>
      <c r="AI5" s="914"/>
      <c r="AJ5" s="914"/>
      <c r="AK5" s="914"/>
      <c r="AL5" s="914"/>
      <c r="AM5" s="914"/>
      <c r="AN5" s="914"/>
      <c r="AO5" s="914"/>
      <c r="AP5" s="914"/>
      <c r="AQ5" s="914"/>
      <c r="AR5" s="914"/>
      <c r="AS5" s="914"/>
      <c r="AT5" s="914"/>
      <c r="AU5" s="914"/>
      <c r="AV5" s="914"/>
      <c r="AW5" s="914"/>
      <c r="AX5" s="914"/>
      <c r="AY5" s="915"/>
    </row>
    <row r="6" spans="1:51" ht="18" customHeight="1" x14ac:dyDescent="0.25">
      <c r="A6" s="917" t="s">
        <v>454</v>
      </c>
      <c r="B6" s="918"/>
      <c r="C6" s="918"/>
      <c r="D6" s="919"/>
      <c r="E6" s="920" t="s">
        <v>1372</v>
      </c>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1"/>
      <c r="AY6" s="922"/>
    </row>
    <row r="7" spans="1:51" ht="18.75" thickBot="1" x14ac:dyDescent="0.3">
      <c r="A7" s="552"/>
      <c r="B7" s="553"/>
      <c r="C7" s="554"/>
      <c r="D7" s="555"/>
      <c r="E7" s="556"/>
      <c r="F7" s="556"/>
      <c r="G7" s="556"/>
      <c r="H7" s="556"/>
      <c r="I7" s="556"/>
      <c r="J7" s="556"/>
      <c r="K7" s="556"/>
      <c r="L7" s="556"/>
      <c r="M7" s="557"/>
      <c r="N7" s="556"/>
      <c r="O7" s="556"/>
      <c r="P7" s="556"/>
      <c r="Q7" s="556"/>
      <c r="R7" s="557"/>
      <c r="S7" s="556"/>
      <c r="T7" s="556"/>
      <c r="U7" s="556"/>
      <c r="V7" s="556"/>
      <c r="W7" s="556"/>
      <c r="X7" s="556"/>
      <c r="Y7" s="556"/>
      <c r="Z7" s="557"/>
      <c r="AA7" s="557"/>
      <c r="AB7" s="557"/>
      <c r="AC7" s="557"/>
      <c r="AD7" s="557"/>
      <c r="AE7" s="557"/>
      <c r="AF7" s="557"/>
      <c r="AG7" s="558"/>
      <c r="AH7" s="558"/>
      <c r="AI7" s="558"/>
      <c r="AJ7" s="558"/>
      <c r="AK7" s="558"/>
      <c r="AL7" s="558"/>
      <c r="AM7" s="556"/>
      <c r="AN7" s="556"/>
      <c r="AO7" s="556"/>
      <c r="AP7" s="556"/>
      <c r="AQ7" s="556"/>
      <c r="AR7" s="556"/>
      <c r="AS7" s="556"/>
      <c r="AT7" s="556"/>
      <c r="AU7" s="556"/>
      <c r="AV7" s="556"/>
      <c r="AW7" s="556"/>
      <c r="AX7" s="556"/>
      <c r="AY7" s="559"/>
    </row>
    <row r="8" spans="1:51" ht="48" customHeight="1" thickBot="1" x14ac:dyDescent="0.3">
      <c r="A8" s="923" t="s">
        <v>455</v>
      </c>
      <c r="B8" s="914"/>
      <c r="C8" s="914"/>
      <c r="D8" s="914"/>
      <c r="E8" s="914"/>
      <c r="F8" s="915"/>
      <c r="G8" s="924" t="s">
        <v>456</v>
      </c>
      <c r="H8" s="914"/>
      <c r="I8" s="914"/>
      <c r="J8" s="914"/>
      <c r="K8" s="914"/>
      <c r="L8" s="914"/>
      <c r="M8" s="914"/>
      <c r="N8" s="914"/>
      <c r="O8" s="914"/>
      <c r="P8" s="914"/>
      <c r="Q8" s="914"/>
      <c r="R8" s="914"/>
      <c r="S8" s="915"/>
      <c r="T8" s="924" t="s">
        <v>457</v>
      </c>
      <c r="U8" s="914"/>
      <c r="V8" s="914"/>
      <c r="W8" s="914"/>
      <c r="X8" s="914"/>
      <c r="Y8" s="914"/>
      <c r="Z8" s="914"/>
      <c r="AA8" s="914"/>
      <c r="AB8" s="914"/>
      <c r="AC8" s="914"/>
      <c r="AD8" s="914"/>
      <c r="AE8" s="914"/>
      <c r="AF8" s="915"/>
      <c r="AG8" s="925" t="s">
        <v>458</v>
      </c>
      <c r="AH8" s="926"/>
      <c r="AI8" s="926"/>
      <c r="AJ8" s="926"/>
      <c r="AK8" s="927"/>
      <c r="AL8" s="928" t="s">
        <v>459</v>
      </c>
      <c r="AM8" s="927"/>
      <c r="AN8" s="560"/>
      <c r="AO8" s="929" t="s">
        <v>460</v>
      </c>
      <c r="AP8" s="926"/>
      <c r="AQ8" s="926"/>
      <c r="AR8" s="926"/>
      <c r="AS8" s="926"/>
      <c r="AT8" s="926"/>
      <c r="AU8" s="926"/>
      <c r="AV8" s="926"/>
      <c r="AW8" s="926"/>
      <c r="AX8" s="927"/>
      <c r="AY8" s="908" t="s">
        <v>461</v>
      </c>
    </row>
    <row r="9" spans="1:51" ht="64.5" customHeight="1" thickBot="1" x14ac:dyDescent="0.3">
      <c r="A9" s="561" t="s">
        <v>462</v>
      </c>
      <c r="B9" s="562" t="s">
        <v>463</v>
      </c>
      <c r="C9" s="562" t="s">
        <v>464</v>
      </c>
      <c r="D9" s="563" t="s">
        <v>465</v>
      </c>
      <c r="E9" s="564" t="s">
        <v>466</v>
      </c>
      <c r="F9" s="564" t="s">
        <v>467</v>
      </c>
      <c r="G9" s="565" t="s">
        <v>402</v>
      </c>
      <c r="H9" s="565" t="s">
        <v>403</v>
      </c>
      <c r="I9" s="565" t="s">
        <v>404</v>
      </c>
      <c r="J9" s="565" t="s">
        <v>405</v>
      </c>
      <c r="K9" s="565" t="s">
        <v>406</v>
      </c>
      <c r="L9" s="565" t="s">
        <v>407</v>
      </c>
      <c r="M9" s="565" t="s">
        <v>408</v>
      </c>
      <c r="N9" s="565" t="s">
        <v>409</v>
      </c>
      <c r="O9" s="565" t="s">
        <v>410</v>
      </c>
      <c r="P9" s="565" t="s">
        <v>411</v>
      </c>
      <c r="Q9" s="565" t="s">
        <v>412</v>
      </c>
      <c r="R9" s="565" t="s">
        <v>413</v>
      </c>
      <c r="S9" s="565" t="s">
        <v>468</v>
      </c>
      <c r="T9" s="565" t="s">
        <v>402</v>
      </c>
      <c r="U9" s="565" t="s">
        <v>403</v>
      </c>
      <c r="V9" s="565" t="s">
        <v>404</v>
      </c>
      <c r="W9" s="565" t="s">
        <v>405</v>
      </c>
      <c r="X9" s="565" t="s">
        <v>406</v>
      </c>
      <c r="Y9" s="565" t="s">
        <v>407</v>
      </c>
      <c r="Z9" s="565" t="s">
        <v>408</v>
      </c>
      <c r="AA9" s="565" t="s">
        <v>409</v>
      </c>
      <c r="AB9" s="565" t="s">
        <v>410</v>
      </c>
      <c r="AC9" s="565" t="s">
        <v>411</v>
      </c>
      <c r="AD9" s="566" t="s">
        <v>412</v>
      </c>
      <c r="AE9" s="565" t="s">
        <v>413</v>
      </c>
      <c r="AF9" s="567" t="s">
        <v>469</v>
      </c>
      <c r="AG9" s="568" t="s">
        <v>470</v>
      </c>
      <c r="AH9" s="569" t="s">
        <v>471</v>
      </c>
      <c r="AI9" s="569" t="s">
        <v>472</v>
      </c>
      <c r="AJ9" s="569" t="s">
        <v>473</v>
      </c>
      <c r="AK9" s="569" t="s">
        <v>474</v>
      </c>
      <c r="AL9" s="569" t="s">
        <v>475</v>
      </c>
      <c r="AM9" s="569" t="s">
        <v>476</v>
      </c>
      <c r="AN9" s="570" t="s">
        <v>477</v>
      </c>
      <c r="AO9" s="570" t="s">
        <v>478</v>
      </c>
      <c r="AP9" s="570" t="s">
        <v>479</v>
      </c>
      <c r="AQ9" s="570" t="s">
        <v>480</v>
      </c>
      <c r="AR9" s="570" t="s">
        <v>481</v>
      </c>
      <c r="AS9" s="570" t="s">
        <v>482</v>
      </c>
      <c r="AT9" s="570" t="s">
        <v>483</v>
      </c>
      <c r="AU9" s="570" t="s">
        <v>484</v>
      </c>
      <c r="AV9" s="570" t="s">
        <v>485</v>
      </c>
      <c r="AW9" s="570" t="s">
        <v>486</v>
      </c>
      <c r="AX9" s="571" t="s">
        <v>487</v>
      </c>
      <c r="AY9" s="909"/>
    </row>
    <row r="10" spans="1:51" ht="19.149999999999999" customHeight="1" x14ac:dyDescent="0.25">
      <c r="A10" s="910">
        <v>1</v>
      </c>
      <c r="B10" s="830" t="s">
        <v>344</v>
      </c>
      <c r="C10" s="911" t="s">
        <v>488</v>
      </c>
      <c r="D10" s="572" t="s">
        <v>345</v>
      </c>
      <c r="E10" s="573">
        <v>190</v>
      </c>
      <c r="F10" s="573">
        <v>190</v>
      </c>
      <c r="G10" s="573">
        <v>190</v>
      </c>
      <c r="H10" s="573">
        <v>190</v>
      </c>
      <c r="I10" s="574">
        <v>190</v>
      </c>
      <c r="J10" s="574">
        <v>190</v>
      </c>
      <c r="K10" s="574">
        <v>190</v>
      </c>
      <c r="L10" s="574">
        <v>190</v>
      </c>
      <c r="M10" s="574">
        <v>190</v>
      </c>
      <c r="N10" s="575">
        <v>190</v>
      </c>
      <c r="O10" s="574">
        <v>190</v>
      </c>
      <c r="P10" s="574">
        <v>190</v>
      </c>
      <c r="Q10" s="574">
        <v>190</v>
      </c>
      <c r="R10" s="574">
        <v>190</v>
      </c>
      <c r="S10" s="574"/>
      <c r="T10" s="575">
        <v>5</v>
      </c>
      <c r="U10" s="575">
        <v>22</v>
      </c>
      <c r="V10" s="575">
        <v>40</v>
      </c>
      <c r="W10" s="575">
        <v>57</v>
      </c>
      <c r="X10" s="575">
        <v>75</v>
      </c>
      <c r="Y10" s="575">
        <v>93</v>
      </c>
      <c r="Z10" s="575">
        <v>111</v>
      </c>
      <c r="AA10" s="575">
        <v>129</v>
      </c>
      <c r="AB10" s="574">
        <v>147</v>
      </c>
      <c r="AC10" s="576">
        <v>165</v>
      </c>
      <c r="AD10" s="574">
        <v>175</v>
      </c>
      <c r="AE10" s="574">
        <v>185</v>
      </c>
      <c r="AF10" s="912" t="s">
        <v>346</v>
      </c>
      <c r="AG10" s="835" t="s">
        <v>489</v>
      </c>
      <c r="AH10" s="824" t="s">
        <v>178</v>
      </c>
      <c r="AI10" s="824" t="s">
        <v>178</v>
      </c>
      <c r="AJ10" s="824" t="s">
        <v>178</v>
      </c>
      <c r="AK10" s="826" t="s">
        <v>490</v>
      </c>
      <c r="AL10" s="907" t="s">
        <v>178</v>
      </c>
      <c r="AM10" s="907" t="s">
        <v>491</v>
      </c>
      <c r="AN10" s="820">
        <v>7968095</v>
      </c>
      <c r="AO10" s="820">
        <v>3815676</v>
      </c>
      <c r="AP10" s="820">
        <v>4152419</v>
      </c>
      <c r="AQ10" s="833" t="s">
        <v>492</v>
      </c>
      <c r="AR10" s="833" t="s">
        <v>492</v>
      </c>
      <c r="AS10" s="833" t="s">
        <v>492</v>
      </c>
      <c r="AT10" s="833" t="s">
        <v>492</v>
      </c>
      <c r="AU10" s="833" t="s">
        <v>492</v>
      </c>
      <c r="AV10" s="833" t="s">
        <v>492</v>
      </c>
      <c r="AW10" s="833" t="s">
        <v>492</v>
      </c>
      <c r="AX10" s="820">
        <v>7936532</v>
      </c>
      <c r="AY10" s="826" t="s">
        <v>493</v>
      </c>
    </row>
    <row r="11" spans="1:51" ht="18" x14ac:dyDescent="0.25">
      <c r="A11" s="828"/>
      <c r="B11" s="822"/>
      <c r="C11" s="822"/>
      <c r="D11" s="578" t="s">
        <v>349</v>
      </c>
      <c r="E11" s="573">
        <v>825557000</v>
      </c>
      <c r="F11" s="573">
        <v>825557000</v>
      </c>
      <c r="G11" s="573">
        <v>825557000</v>
      </c>
      <c r="H11" s="573">
        <v>825557000</v>
      </c>
      <c r="I11" s="574">
        <v>825557000</v>
      </c>
      <c r="J11" s="574">
        <v>825557000</v>
      </c>
      <c r="K11" s="574">
        <v>825557000</v>
      </c>
      <c r="L11" s="574">
        <v>825557000</v>
      </c>
      <c r="M11" s="574">
        <v>863387067</v>
      </c>
      <c r="N11" s="574">
        <v>863387067</v>
      </c>
      <c r="O11" s="574">
        <v>863387067</v>
      </c>
      <c r="P11" s="574">
        <v>853240566</v>
      </c>
      <c r="Q11" s="574">
        <v>851180799</v>
      </c>
      <c r="R11" s="574">
        <v>851180799</v>
      </c>
      <c r="S11" s="574"/>
      <c r="T11" s="575">
        <v>382172000</v>
      </c>
      <c r="U11" s="575">
        <v>767795000</v>
      </c>
      <c r="V11" s="575">
        <v>767795000</v>
      </c>
      <c r="W11" s="575">
        <v>767795000</v>
      </c>
      <c r="X11" s="574">
        <v>767795000</v>
      </c>
      <c r="Y11" s="574">
        <v>783529000</v>
      </c>
      <c r="Z11" s="574">
        <v>783529000</v>
      </c>
      <c r="AA11" s="575">
        <v>783529000</v>
      </c>
      <c r="AB11" s="574">
        <v>811989000</v>
      </c>
      <c r="AC11" s="574">
        <v>811989000</v>
      </c>
      <c r="AD11" s="574">
        <v>811989000</v>
      </c>
      <c r="AE11" s="574">
        <v>849819067</v>
      </c>
      <c r="AF11" s="838"/>
      <c r="AG11" s="828"/>
      <c r="AH11" s="822"/>
      <c r="AI11" s="822"/>
      <c r="AJ11" s="822"/>
      <c r="AK11" s="806"/>
      <c r="AL11" s="806"/>
      <c r="AM11" s="806"/>
      <c r="AN11" s="806"/>
      <c r="AO11" s="806"/>
      <c r="AP11" s="806"/>
      <c r="AQ11" s="806"/>
      <c r="AR11" s="806"/>
      <c r="AS11" s="806"/>
      <c r="AT11" s="806"/>
      <c r="AU11" s="806"/>
      <c r="AV11" s="806"/>
      <c r="AW11" s="806"/>
      <c r="AX11" s="806"/>
      <c r="AY11" s="806"/>
    </row>
    <row r="12" spans="1:51" ht="27" x14ac:dyDescent="0.25">
      <c r="A12" s="828"/>
      <c r="B12" s="822"/>
      <c r="C12" s="822"/>
      <c r="D12" s="579" t="s">
        <v>351</v>
      </c>
      <c r="E12" s="573"/>
      <c r="F12" s="573"/>
      <c r="G12" s="573"/>
      <c r="H12" s="573"/>
      <c r="I12" s="574"/>
      <c r="J12" s="574"/>
      <c r="K12" s="580"/>
      <c r="L12" s="580"/>
      <c r="M12" s="574"/>
      <c r="N12" s="575"/>
      <c r="O12" s="574"/>
      <c r="P12" s="574"/>
      <c r="Q12" s="574"/>
      <c r="R12" s="574"/>
      <c r="S12" s="574"/>
      <c r="T12" s="575"/>
      <c r="U12" s="575"/>
      <c r="V12" s="575"/>
      <c r="W12" s="575"/>
      <c r="X12" s="581"/>
      <c r="Y12" s="581"/>
      <c r="Z12" s="575"/>
      <c r="AA12" s="575"/>
      <c r="AB12" s="574"/>
      <c r="AC12" s="574"/>
      <c r="AD12" s="574"/>
      <c r="AE12" s="574"/>
      <c r="AF12" s="838"/>
      <c r="AG12" s="828"/>
      <c r="AH12" s="822"/>
      <c r="AI12" s="822"/>
      <c r="AJ12" s="822"/>
      <c r="AK12" s="806"/>
      <c r="AL12" s="806"/>
      <c r="AM12" s="806"/>
      <c r="AN12" s="806"/>
      <c r="AO12" s="806"/>
      <c r="AP12" s="806"/>
      <c r="AQ12" s="806"/>
      <c r="AR12" s="806"/>
      <c r="AS12" s="806"/>
      <c r="AT12" s="806"/>
      <c r="AU12" s="806"/>
      <c r="AV12" s="806"/>
      <c r="AW12" s="806"/>
      <c r="AX12" s="806"/>
      <c r="AY12" s="806"/>
    </row>
    <row r="13" spans="1:51" ht="27" x14ac:dyDescent="0.25">
      <c r="A13" s="828"/>
      <c r="B13" s="822"/>
      <c r="C13" s="822"/>
      <c r="D13" s="578" t="s">
        <v>352</v>
      </c>
      <c r="E13" s="573">
        <v>246070108</v>
      </c>
      <c r="F13" s="573">
        <v>246070108</v>
      </c>
      <c r="G13" s="573">
        <v>246070108</v>
      </c>
      <c r="H13" s="573">
        <v>246070108</v>
      </c>
      <c r="I13" s="574">
        <v>246070108</v>
      </c>
      <c r="J13" s="574">
        <v>246070108</v>
      </c>
      <c r="K13" s="580">
        <v>246070108</v>
      </c>
      <c r="L13" s="580">
        <v>246018399</v>
      </c>
      <c r="M13" s="574">
        <v>246018399</v>
      </c>
      <c r="N13" s="575">
        <v>246018399</v>
      </c>
      <c r="O13" s="575">
        <v>246018399</v>
      </c>
      <c r="P13" s="574">
        <v>246018399</v>
      </c>
      <c r="Q13" s="574">
        <v>246018399</v>
      </c>
      <c r="R13" s="574">
        <v>246014543</v>
      </c>
      <c r="S13" s="574"/>
      <c r="T13" s="575">
        <v>53090449</v>
      </c>
      <c r="U13" s="575">
        <v>111012013</v>
      </c>
      <c r="V13" s="575">
        <v>111012013</v>
      </c>
      <c r="W13" s="575">
        <v>148249099</v>
      </c>
      <c r="X13" s="574">
        <v>188645439</v>
      </c>
      <c r="Y13" s="574">
        <v>245977171</v>
      </c>
      <c r="Z13" s="575">
        <v>245977171</v>
      </c>
      <c r="AA13" s="575">
        <v>245977171</v>
      </c>
      <c r="AB13" s="575">
        <v>245977171</v>
      </c>
      <c r="AC13" s="574">
        <v>246014543</v>
      </c>
      <c r="AD13" s="574">
        <v>246014543</v>
      </c>
      <c r="AE13" s="574">
        <v>246014543</v>
      </c>
      <c r="AF13" s="838"/>
      <c r="AG13" s="828"/>
      <c r="AH13" s="822"/>
      <c r="AI13" s="822"/>
      <c r="AJ13" s="822"/>
      <c r="AK13" s="806"/>
      <c r="AL13" s="806"/>
      <c r="AM13" s="806"/>
      <c r="AN13" s="806"/>
      <c r="AO13" s="806"/>
      <c r="AP13" s="806"/>
      <c r="AQ13" s="806"/>
      <c r="AR13" s="806"/>
      <c r="AS13" s="806"/>
      <c r="AT13" s="806"/>
      <c r="AU13" s="806"/>
      <c r="AV13" s="806"/>
      <c r="AW13" s="806"/>
      <c r="AX13" s="806"/>
      <c r="AY13" s="806"/>
    </row>
    <row r="14" spans="1:51" ht="27" x14ac:dyDescent="0.25">
      <c r="A14" s="828"/>
      <c r="B14" s="822"/>
      <c r="C14" s="822"/>
      <c r="D14" s="579" t="s">
        <v>353</v>
      </c>
      <c r="E14" s="573">
        <v>190</v>
      </c>
      <c r="F14" s="573">
        <v>190</v>
      </c>
      <c r="G14" s="573">
        <v>190</v>
      </c>
      <c r="H14" s="573">
        <v>190</v>
      </c>
      <c r="I14" s="574">
        <v>190</v>
      </c>
      <c r="J14" s="574">
        <v>190</v>
      </c>
      <c r="K14" s="580">
        <v>190</v>
      </c>
      <c r="L14" s="580">
        <v>190</v>
      </c>
      <c r="M14" s="574">
        <v>190</v>
      </c>
      <c r="N14" s="574">
        <v>190</v>
      </c>
      <c r="O14" s="574">
        <v>190</v>
      </c>
      <c r="P14" s="574">
        <v>190</v>
      </c>
      <c r="Q14" s="574">
        <v>190</v>
      </c>
      <c r="R14" s="574">
        <v>190</v>
      </c>
      <c r="S14" s="574"/>
      <c r="T14" s="575">
        <v>5</v>
      </c>
      <c r="U14" s="575">
        <v>22</v>
      </c>
      <c r="V14" s="575">
        <v>40</v>
      </c>
      <c r="W14" s="575">
        <v>57</v>
      </c>
      <c r="X14" s="581">
        <v>75</v>
      </c>
      <c r="Y14" s="581">
        <v>93</v>
      </c>
      <c r="Z14" s="575">
        <v>111</v>
      </c>
      <c r="AA14" s="575">
        <v>129</v>
      </c>
      <c r="AB14" s="574">
        <v>147</v>
      </c>
      <c r="AC14" s="574">
        <v>165</v>
      </c>
      <c r="AD14" s="574">
        <v>165</v>
      </c>
      <c r="AE14" s="574">
        <v>185</v>
      </c>
      <c r="AF14" s="838"/>
      <c r="AG14" s="828"/>
      <c r="AH14" s="822"/>
      <c r="AI14" s="822"/>
      <c r="AJ14" s="822"/>
      <c r="AK14" s="806"/>
      <c r="AL14" s="806"/>
      <c r="AM14" s="806"/>
      <c r="AN14" s="806"/>
      <c r="AO14" s="806"/>
      <c r="AP14" s="806"/>
      <c r="AQ14" s="806"/>
      <c r="AR14" s="806"/>
      <c r="AS14" s="806"/>
      <c r="AT14" s="806"/>
      <c r="AU14" s="806"/>
      <c r="AV14" s="806"/>
      <c r="AW14" s="806"/>
      <c r="AX14" s="806"/>
      <c r="AY14" s="806"/>
    </row>
    <row r="15" spans="1:51" ht="27" x14ac:dyDescent="0.25">
      <c r="A15" s="828"/>
      <c r="B15" s="822"/>
      <c r="C15" s="823"/>
      <c r="D15" s="578" t="s">
        <v>354</v>
      </c>
      <c r="E15" s="573">
        <v>1071627108</v>
      </c>
      <c r="F15" s="573">
        <v>1071627108</v>
      </c>
      <c r="G15" s="573">
        <v>1071627108</v>
      </c>
      <c r="H15" s="573">
        <v>1071627108</v>
      </c>
      <c r="I15" s="574">
        <v>1071627108</v>
      </c>
      <c r="J15" s="574">
        <v>1071627108</v>
      </c>
      <c r="K15" s="580">
        <v>1071627108</v>
      </c>
      <c r="L15" s="580">
        <v>1071575399</v>
      </c>
      <c r="M15" s="580">
        <f t="shared" ref="M15:R15" si="0">+M11+M13</f>
        <v>1109405466</v>
      </c>
      <c r="N15" s="580">
        <f t="shared" si="0"/>
        <v>1109405466</v>
      </c>
      <c r="O15" s="580">
        <f t="shared" si="0"/>
        <v>1109405466</v>
      </c>
      <c r="P15" s="580">
        <f t="shared" si="0"/>
        <v>1099258965</v>
      </c>
      <c r="Q15" s="580">
        <f t="shared" si="0"/>
        <v>1097199198</v>
      </c>
      <c r="R15" s="580">
        <f t="shared" si="0"/>
        <v>1097195342</v>
      </c>
      <c r="S15" s="580"/>
      <c r="T15" s="574">
        <v>435262449</v>
      </c>
      <c r="U15" s="574">
        <v>878807013</v>
      </c>
      <c r="V15" s="574">
        <v>878807013</v>
      </c>
      <c r="W15" s="574">
        <v>916044099</v>
      </c>
      <c r="X15" s="574">
        <v>956440439</v>
      </c>
      <c r="Y15" s="574">
        <v>1029506171</v>
      </c>
      <c r="Z15" s="575">
        <f t="shared" ref="Z15:AE15" si="1">+Z11+Z13</f>
        <v>1029506171</v>
      </c>
      <c r="AA15" s="575">
        <f t="shared" si="1"/>
        <v>1029506171</v>
      </c>
      <c r="AB15" s="575">
        <f t="shared" si="1"/>
        <v>1057966171</v>
      </c>
      <c r="AC15" s="575">
        <f t="shared" si="1"/>
        <v>1058003543</v>
      </c>
      <c r="AD15" s="575">
        <f t="shared" si="1"/>
        <v>1058003543</v>
      </c>
      <c r="AE15" s="580">
        <f t="shared" si="1"/>
        <v>1095833610</v>
      </c>
      <c r="AF15" s="838"/>
      <c r="AG15" s="829"/>
      <c r="AH15" s="823"/>
      <c r="AI15" s="823"/>
      <c r="AJ15" s="823"/>
      <c r="AK15" s="807"/>
      <c r="AL15" s="807"/>
      <c r="AM15" s="807"/>
      <c r="AN15" s="807"/>
      <c r="AO15" s="807"/>
      <c r="AP15" s="807"/>
      <c r="AQ15" s="807"/>
      <c r="AR15" s="807"/>
      <c r="AS15" s="807"/>
      <c r="AT15" s="807"/>
      <c r="AU15" s="807"/>
      <c r="AV15" s="807"/>
      <c r="AW15" s="807"/>
      <c r="AX15" s="807"/>
      <c r="AY15" s="806"/>
    </row>
    <row r="16" spans="1:51" ht="22.9" customHeight="1" x14ac:dyDescent="0.25">
      <c r="A16" s="828"/>
      <c r="B16" s="822"/>
      <c r="C16" s="821" t="s">
        <v>494</v>
      </c>
      <c r="D16" s="572" t="s">
        <v>345</v>
      </c>
      <c r="E16" s="582"/>
      <c r="F16" s="582"/>
      <c r="G16" s="582"/>
      <c r="H16" s="582">
        <v>1</v>
      </c>
      <c r="I16" s="580">
        <v>2</v>
      </c>
      <c r="J16" s="581">
        <v>2</v>
      </c>
      <c r="K16" s="580">
        <v>5</v>
      </c>
      <c r="L16" s="580">
        <v>6</v>
      </c>
      <c r="M16" s="581">
        <v>6</v>
      </c>
      <c r="N16" s="582">
        <v>6</v>
      </c>
      <c r="O16" s="582">
        <v>8</v>
      </c>
      <c r="P16" s="580">
        <v>10</v>
      </c>
      <c r="Q16" s="580">
        <v>10</v>
      </c>
      <c r="R16" s="580">
        <v>12</v>
      </c>
      <c r="S16" s="580"/>
      <c r="T16" s="575"/>
      <c r="U16" s="580">
        <v>1</v>
      </c>
      <c r="V16" s="580">
        <v>2</v>
      </c>
      <c r="W16" s="581">
        <v>2</v>
      </c>
      <c r="X16" s="580">
        <v>5</v>
      </c>
      <c r="Y16" s="580">
        <v>6</v>
      </c>
      <c r="Z16" s="581">
        <f t="shared" ref="Z16:AE27" si="2">+M16</f>
        <v>6</v>
      </c>
      <c r="AA16" s="580">
        <f t="shared" si="2"/>
        <v>6</v>
      </c>
      <c r="AB16" s="580">
        <f t="shared" si="2"/>
        <v>8</v>
      </c>
      <c r="AC16" s="580">
        <f t="shared" si="2"/>
        <v>10</v>
      </c>
      <c r="AD16" s="580">
        <f t="shared" si="2"/>
        <v>10</v>
      </c>
      <c r="AE16" s="580">
        <f t="shared" si="2"/>
        <v>12</v>
      </c>
      <c r="AF16" s="899" t="s">
        <v>495</v>
      </c>
      <c r="AG16" s="890" t="s">
        <v>496</v>
      </c>
      <c r="AH16" s="824" t="s">
        <v>497</v>
      </c>
      <c r="AI16" s="824" t="s">
        <v>498</v>
      </c>
      <c r="AJ16" s="656" t="s">
        <v>499</v>
      </c>
      <c r="AK16" s="826" t="s">
        <v>490</v>
      </c>
      <c r="AL16" s="826" t="s">
        <v>500</v>
      </c>
      <c r="AM16" s="826" t="s">
        <v>491</v>
      </c>
      <c r="AN16" s="861">
        <v>586954</v>
      </c>
      <c r="AO16" s="861">
        <v>269584</v>
      </c>
      <c r="AP16" s="861">
        <v>317370</v>
      </c>
      <c r="AQ16" s="897"/>
      <c r="AR16" s="897" t="s">
        <v>492</v>
      </c>
      <c r="AS16" s="897" t="s">
        <v>492</v>
      </c>
      <c r="AT16" s="897" t="s">
        <v>492</v>
      </c>
      <c r="AU16" s="898" t="s">
        <v>492</v>
      </c>
      <c r="AV16" s="898" t="s">
        <v>492</v>
      </c>
      <c r="AW16" s="898" t="s">
        <v>492</v>
      </c>
      <c r="AX16" s="861">
        <v>586346</v>
      </c>
      <c r="AY16" s="806"/>
    </row>
    <row r="17" spans="1:51" ht="34.15" customHeight="1" x14ac:dyDescent="0.25">
      <c r="A17" s="828"/>
      <c r="B17" s="822"/>
      <c r="C17" s="822"/>
      <c r="D17" s="578" t="s">
        <v>349</v>
      </c>
      <c r="E17" s="582"/>
      <c r="F17" s="582"/>
      <c r="G17" s="582"/>
      <c r="H17" s="582">
        <v>34899772.727272727</v>
      </c>
      <c r="I17" s="580">
        <v>38389750</v>
      </c>
      <c r="J17" s="580">
        <v>26940175.438596491</v>
      </c>
      <c r="K17" s="580">
        <v>51186333.333333336</v>
      </c>
      <c r="L17" s="580">
        <v>50550258.064516127</v>
      </c>
      <c r="M17" s="580">
        <f>+M16*$Z$11/$Z$10</f>
        <v>42352918.918918923</v>
      </c>
      <c r="N17" s="582">
        <f>+N16*$AA$11/$AA$10</f>
        <v>36443209.302325584</v>
      </c>
      <c r="O17" s="582">
        <f>+O16*$AB$11/$AB$10</f>
        <v>44189877.551020406</v>
      </c>
      <c r="P17" s="580">
        <f>+P16*$AC$11/$AC$10</f>
        <v>49211454.545454547</v>
      </c>
      <c r="Q17" s="580">
        <f>+Q16*$AD$11/$AD$10</f>
        <v>46399371.428571425</v>
      </c>
      <c r="R17" s="580">
        <f>+R16*$AE$11/$AE$10</f>
        <v>55123398.940540537</v>
      </c>
      <c r="S17" s="580"/>
      <c r="T17" s="575"/>
      <c r="U17" s="580">
        <v>34899772.727272727</v>
      </c>
      <c r="V17" s="580">
        <v>38389750</v>
      </c>
      <c r="W17" s="581">
        <v>26940175.438596491</v>
      </c>
      <c r="X17" s="580">
        <v>51186333.333333336</v>
      </c>
      <c r="Y17" s="580">
        <v>50550258.064516127</v>
      </c>
      <c r="Z17" s="580">
        <f t="shared" si="2"/>
        <v>42352918.918918923</v>
      </c>
      <c r="AA17" s="580">
        <f t="shared" si="2"/>
        <v>36443209.302325584</v>
      </c>
      <c r="AB17" s="580">
        <f t="shared" si="2"/>
        <v>44189877.551020406</v>
      </c>
      <c r="AC17" s="580">
        <f t="shared" si="2"/>
        <v>49211454.545454547</v>
      </c>
      <c r="AD17" s="580">
        <f t="shared" si="2"/>
        <v>46399371.428571425</v>
      </c>
      <c r="AE17" s="580">
        <f t="shared" si="2"/>
        <v>55123398.940540537</v>
      </c>
      <c r="AF17" s="838"/>
      <c r="AG17" s="828"/>
      <c r="AH17" s="822"/>
      <c r="AI17" s="822"/>
      <c r="AJ17" s="657" t="s">
        <v>501</v>
      </c>
      <c r="AK17" s="806"/>
      <c r="AL17" s="806"/>
      <c r="AM17" s="806"/>
      <c r="AN17" s="806"/>
      <c r="AO17" s="806"/>
      <c r="AP17" s="806"/>
      <c r="AQ17" s="806"/>
      <c r="AR17" s="806"/>
      <c r="AS17" s="806"/>
      <c r="AT17" s="806"/>
      <c r="AU17" s="806"/>
      <c r="AV17" s="806"/>
      <c r="AW17" s="806"/>
      <c r="AX17" s="806"/>
      <c r="AY17" s="806"/>
    </row>
    <row r="18" spans="1:51" ht="27" x14ac:dyDescent="0.25">
      <c r="A18" s="828"/>
      <c r="B18" s="822"/>
      <c r="C18" s="822"/>
      <c r="D18" s="579" t="s">
        <v>351</v>
      </c>
      <c r="E18" s="582"/>
      <c r="F18" s="582"/>
      <c r="G18" s="582"/>
      <c r="H18" s="582"/>
      <c r="I18" s="580"/>
      <c r="J18" s="581"/>
      <c r="K18" s="580"/>
      <c r="L18" s="580"/>
      <c r="M18" s="581"/>
      <c r="N18" s="582"/>
      <c r="O18" s="582"/>
      <c r="P18" s="580"/>
      <c r="Q18" s="580"/>
      <c r="R18" s="580"/>
      <c r="S18" s="580"/>
      <c r="T18" s="575"/>
      <c r="U18" s="580">
        <v>0</v>
      </c>
      <c r="V18" s="580">
        <v>0</v>
      </c>
      <c r="W18" s="581">
        <v>0</v>
      </c>
      <c r="X18" s="580">
        <v>0</v>
      </c>
      <c r="Y18" s="580">
        <v>0</v>
      </c>
      <c r="Z18" s="581">
        <f t="shared" si="2"/>
        <v>0</v>
      </c>
      <c r="AA18" s="580">
        <f t="shared" si="2"/>
        <v>0</v>
      </c>
      <c r="AB18" s="580">
        <f t="shared" si="2"/>
        <v>0</v>
      </c>
      <c r="AC18" s="580">
        <f t="shared" si="2"/>
        <v>0</v>
      </c>
      <c r="AD18" s="580">
        <f t="shared" si="2"/>
        <v>0</v>
      </c>
      <c r="AE18" s="580">
        <f t="shared" si="2"/>
        <v>0</v>
      </c>
      <c r="AF18" s="838"/>
      <c r="AG18" s="828"/>
      <c r="AH18" s="822"/>
      <c r="AI18" s="822"/>
      <c r="AJ18" s="657" t="s">
        <v>502</v>
      </c>
      <c r="AK18" s="806"/>
      <c r="AL18" s="806"/>
      <c r="AM18" s="806"/>
      <c r="AN18" s="806"/>
      <c r="AO18" s="806"/>
      <c r="AP18" s="806"/>
      <c r="AQ18" s="806"/>
      <c r="AR18" s="806"/>
      <c r="AS18" s="806"/>
      <c r="AT18" s="806"/>
      <c r="AU18" s="806"/>
      <c r="AV18" s="806"/>
      <c r="AW18" s="806"/>
      <c r="AX18" s="806"/>
      <c r="AY18" s="806"/>
    </row>
    <row r="19" spans="1:51" ht="45.6" customHeight="1" x14ac:dyDescent="0.25">
      <c r="A19" s="828"/>
      <c r="B19" s="822"/>
      <c r="C19" s="822"/>
      <c r="D19" s="578" t="s">
        <v>352</v>
      </c>
      <c r="E19" s="582"/>
      <c r="F19" s="582"/>
      <c r="G19" s="582"/>
      <c r="H19" s="583">
        <v>7929429.5</v>
      </c>
      <c r="I19" s="575">
        <v>6530118.4117647056</v>
      </c>
      <c r="J19" s="575">
        <v>8720535.2352941185</v>
      </c>
      <c r="K19" s="575">
        <v>11096790.529411765</v>
      </c>
      <c r="L19" s="575">
        <v>13665398.388888888</v>
      </c>
      <c r="M19" s="575">
        <v>13665398.388888888</v>
      </c>
      <c r="N19" s="583">
        <v>13665398.388888888</v>
      </c>
      <c r="O19" s="583">
        <v>13665398.388888888</v>
      </c>
      <c r="P19" s="575">
        <f t="shared" ref="P19:R19" si="3">+AC13/19</f>
        <v>12948133.842105264</v>
      </c>
      <c r="Q19" s="575">
        <f t="shared" si="3"/>
        <v>12948133.842105264</v>
      </c>
      <c r="R19" s="575">
        <f t="shared" si="3"/>
        <v>12948133.842105264</v>
      </c>
      <c r="S19" s="575"/>
      <c r="T19" s="575"/>
      <c r="U19" s="580">
        <v>7929429.5</v>
      </c>
      <c r="V19" s="580">
        <v>6530118.4117647056</v>
      </c>
      <c r="W19" s="581">
        <v>8720535.2352941185</v>
      </c>
      <c r="X19" s="580">
        <v>11096790.529411765</v>
      </c>
      <c r="Y19" s="580">
        <v>13665398.388888888</v>
      </c>
      <c r="Z19" s="574">
        <f t="shared" si="2"/>
        <v>13665398.388888888</v>
      </c>
      <c r="AA19" s="580">
        <f t="shared" si="2"/>
        <v>13665398.388888888</v>
      </c>
      <c r="AB19" s="580">
        <f t="shared" si="2"/>
        <v>13665398.388888888</v>
      </c>
      <c r="AC19" s="580">
        <f t="shared" si="2"/>
        <v>12948133.842105264</v>
      </c>
      <c r="AD19" s="580">
        <f t="shared" si="2"/>
        <v>12948133.842105264</v>
      </c>
      <c r="AE19" s="575">
        <f t="shared" si="2"/>
        <v>12948133.842105264</v>
      </c>
      <c r="AF19" s="838"/>
      <c r="AG19" s="828"/>
      <c r="AH19" s="822"/>
      <c r="AI19" s="822"/>
      <c r="AJ19" s="657" t="s">
        <v>503</v>
      </c>
      <c r="AK19" s="806"/>
      <c r="AL19" s="806"/>
      <c r="AM19" s="806"/>
      <c r="AN19" s="806"/>
      <c r="AO19" s="806"/>
      <c r="AP19" s="806"/>
      <c r="AQ19" s="806"/>
      <c r="AR19" s="806"/>
      <c r="AS19" s="806"/>
      <c r="AT19" s="806"/>
      <c r="AU19" s="806"/>
      <c r="AV19" s="806"/>
      <c r="AW19" s="806"/>
      <c r="AX19" s="806"/>
      <c r="AY19" s="806"/>
    </row>
    <row r="20" spans="1:51" ht="72" customHeight="1" x14ac:dyDescent="0.25">
      <c r="A20" s="828"/>
      <c r="B20" s="822"/>
      <c r="C20" s="822"/>
      <c r="D20" s="579" t="s">
        <v>353</v>
      </c>
      <c r="E20" s="582"/>
      <c r="F20" s="582"/>
      <c r="G20" s="582"/>
      <c r="H20" s="582">
        <v>1</v>
      </c>
      <c r="I20" s="580">
        <v>2</v>
      </c>
      <c r="J20" s="581">
        <v>2</v>
      </c>
      <c r="K20" s="580">
        <v>5</v>
      </c>
      <c r="L20" s="580">
        <v>6</v>
      </c>
      <c r="M20" s="581">
        <v>6</v>
      </c>
      <c r="N20" s="582">
        <v>6</v>
      </c>
      <c r="O20" s="582">
        <v>8</v>
      </c>
      <c r="P20" s="580">
        <v>10</v>
      </c>
      <c r="Q20" s="580">
        <v>10</v>
      </c>
      <c r="R20" s="580">
        <v>12</v>
      </c>
      <c r="S20" s="580"/>
      <c r="T20" s="575"/>
      <c r="U20" s="580">
        <v>1</v>
      </c>
      <c r="V20" s="580">
        <v>2</v>
      </c>
      <c r="W20" s="581">
        <v>2</v>
      </c>
      <c r="X20" s="580">
        <v>5</v>
      </c>
      <c r="Y20" s="580">
        <v>6</v>
      </c>
      <c r="Z20" s="581">
        <f t="shared" si="2"/>
        <v>6</v>
      </c>
      <c r="AA20" s="580">
        <f t="shared" si="2"/>
        <v>6</v>
      </c>
      <c r="AB20" s="580">
        <f t="shared" si="2"/>
        <v>8</v>
      </c>
      <c r="AC20" s="580">
        <f t="shared" si="2"/>
        <v>10</v>
      </c>
      <c r="AD20" s="580">
        <f t="shared" si="2"/>
        <v>10</v>
      </c>
      <c r="AE20" s="580">
        <f t="shared" si="2"/>
        <v>12</v>
      </c>
      <c r="AF20" s="838"/>
      <c r="AG20" s="828"/>
      <c r="AH20" s="822"/>
      <c r="AI20" s="822"/>
      <c r="AJ20" s="658" t="s">
        <v>504</v>
      </c>
      <c r="AK20" s="806"/>
      <c r="AL20" s="806"/>
      <c r="AM20" s="806"/>
      <c r="AN20" s="806"/>
      <c r="AO20" s="806"/>
      <c r="AP20" s="806"/>
      <c r="AQ20" s="806"/>
      <c r="AR20" s="806"/>
      <c r="AS20" s="806"/>
      <c r="AT20" s="806"/>
      <c r="AU20" s="806"/>
      <c r="AV20" s="806"/>
      <c r="AW20" s="806"/>
      <c r="AX20" s="806"/>
      <c r="AY20" s="806"/>
    </row>
    <row r="21" spans="1:51" ht="28.9" customHeight="1" x14ac:dyDescent="0.25">
      <c r="A21" s="828"/>
      <c r="B21" s="822"/>
      <c r="C21" s="823"/>
      <c r="D21" s="578" t="s">
        <v>354</v>
      </c>
      <c r="E21" s="582"/>
      <c r="F21" s="582"/>
      <c r="G21" s="582"/>
      <c r="H21" s="582">
        <v>42829202.227272727</v>
      </c>
      <c r="I21" s="580">
        <v>44919868.411764704</v>
      </c>
      <c r="J21" s="580">
        <v>35660710.673890606</v>
      </c>
      <c r="K21" s="580">
        <v>62283123.862745099</v>
      </c>
      <c r="L21" s="580">
        <v>64215656.453405015</v>
      </c>
      <c r="M21" s="580">
        <f t="shared" ref="M21:R21" si="4">+M17+M19</f>
        <v>56018317.307807811</v>
      </c>
      <c r="N21" s="582">
        <f t="shared" si="4"/>
        <v>50108607.691214472</v>
      </c>
      <c r="O21" s="582">
        <f t="shared" si="4"/>
        <v>57855275.939909294</v>
      </c>
      <c r="P21" s="580">
        <f t="shared" si="4"/>
        <v>62159588.387559809</v>
      </c>
      <c r="Q21" s="580">
        <f t="shared" si="4"/>
        <v>59347505.270676687</v>
      </c>
      <c r="R21" s="580">
        <f t="shared" si="4"/>
        <v>68071532.782645807</v>
      </c>
      <c r="S21" s="580"/>
      <c r="T21" s="575"/>
      <c r="U21" s="580">
        <v>42829202.227272727</v>
      </c>
      <c r="V21" s="580">
        <v>44919868.411764704</v>
      </c>
      <c r="W21" s="581">
        <v>35660710.673890606</v>
      </c>
      <c r="X21" s="580">
        <v>62283123.862745099</v>
      </c>
      <c r="Y21" s="580">
        <v>64215656.453405015</v>
      </c>
      <c r="Z21" s="580">
        <f t="shared" si="2"/>
        <v>56018317.307807811</v>
      </c>
      <c r="AA21" s="580">
        <f t="shared" si="2"/>
        <v>50108607.691214472</v>
      </c>
      <c r="AB21" s="580">
        <f t="shared" si="2"/>
        <v>57855275.939909294</v>
      </c>
      <c r="AC21" s="580">
        <f t="shared" si="2"/>
        <v>62159588.387559809</v>
      </c>
      <c r="AD21" s="580">
        <f t="shared" si="2"/>
        <v>59347505.270676687</v>
      </c>
      <c r="AE21" s="580">
        <f t="shared" si="2"/>
        <v>68071532.782645807</v>
      </c>
      <c r="AF21" s="838"/>
      <c r="AG21" s="829"/>
      <c r="AH21" s="823"/>
      <c r="AI21" s="823"/>
      <c r="AJ21" s="659" t="s">
        <v>505</v>
      </c>
      <c r="AK21" s="807"/>
      <c r="AL21" s="807"/>
      <c r="AM21" s="807"/>
      <c r="AN21" s="807"/>
      <c r="AO21" s="807"/>
      <c r="AP21" s="807"/>
      <c r="AQ21" s="807"/>
      <c r="AR21" s="807"/>
      <c r="AS21" s="807"/>
      <c r="AT21" s="807"/>
      <c r="AU21" s="807"/>
      <c r="AV21" s="807"/>
      <c r="AW21" s="807"/>
      <c r="AX21" s="807"/>
      <c r="AY21" s="806"/>
    </row>
    <row r="22" spans="1:51" ht="22.9" customHeight="1" x14ac:dyDescent="0.25">
      <c r="A22" s="828"/>
      <c r="B22" s="822"/>
      <c r="C22" s="821" t="s">
        <v>506</v>
      </c>
      <c r="D22" s="572" t="s">
        <v>345</v>
      </c>
      <c r="E22" s="582"/>
      <c r="F22" s="582"/>
      <c r="G22" s="582"/>
      <c r="H22" s="582"/>
      <c r="I22" s="580"/>
      <c r="J22" s="581"/>
      <c r="K22" s="580"/>
      <c r="L22" s="580"/>
      <c r="M22" s="581">
        <v>1</v>
      </c>
      <c r="N22" s="582">
        <v>1</v>
      </c>
      <c r="O22" s="582">
        <v>1</v>
      </c>
      <c r="P22" s="580">
        <v>1</v>
      </c>
      <c r="Q22" s="580">
        <v>1</v>
      </c>
      <c r="R22" s="580">
        <v>1</v>
      </c>
      <c r="S22" s="580"/>
      <c r="T22" s="575"/>
      <c r="U22" s="580">
        <f t="shared" ref="U22:AE37" si="5">+H22</f>
        <v>0</v>
      </c>
      <c r="V22" s="580"/>
      <c r="W22" s="581"/>
      <c r="X22" s="580"/>
      <c r="Y22" s="580"/>
      <c r="Z22" s="581">
        <f t="shared" si="2"/>
        <v>1</v>
      </c>
      <c r="AA22" s="580">
        <f t="shared" si="2"/>
        <v>1</v>
      </c>
      <c r="AB22" s="580">
        <f t="shared" si="2"/>
        <v>1</v>
      </c>
      <c r="AC22" s="580">
        <f t="shared" si="2"/>
        <v>1</v>
      </c>
      <c r="AD22" s="580">
        <f t="shared" si="2"/>
        <v>1</v>
      </c>
      <c r="AE22" s="580">
        <f t="shared" si="2"/>
        <v>1</v>
      </c>
      <c r="AF22" s="899" t="s">
        <v>507</v>
      </c>
      <c r="AG22" s="827" t="s">
        <v>508</v>
      </c>
      <c r="AH22" s="824" t="s">
        <v>509</v>
      </c>
      <c r="AI22" s="824" t="s">
        <v>510</v>
      </c>
      <c r="AJ22" s="656" t="s">
        <v>499</v>
      </c>
      <c r="AK22" s="826" t="s">
        <v>490</v>
      </c>
      <c r="AL22" s="826" t="s">
        <v>178</v>
      </c>
      <c r="AM22" s="826" t="s">
        <v>491</v>
      </c>
      <c r="AN22" s="861">
        <v>18703</v>
      </c>
      <c r="AO22" s="820">
        <v>9562</v>
      </c>
      <c r="AP22" s="820">
        <v>9141</v>
      </c>
      <c r="AQ22" s="840" t="s">
        <v>492</v>
      </c>
      <c r="AR22" s="840" t="s">
        <v>492</v>
      </c>
      <c r="AS22" s="840" t="s">
        <v>492</v>
      </c>
      <c r="AT22" s="840" t="s">
        <v>492</v>
      </c>
      <c r="AU22" s="833" t="s">
        <v>492</v>
      </c>
      <c r="AV22" s="833" t="s">
        <v>492</v>
      </c>
      <c r="AW22" s="833" t="s">
        <v>492</v>
      </c>
      <c r="AX22" s="820">
        <v>18703</v>
      </c>
      <c r="AY22" s="584"/>
    </row>
    <row r="23" spans="1:51" ht="34.15" customHeight="1" x14ac:dyDescent="0.25">
      <c r="A23" s="828"/>
      <c r="B23" s="822"/>
      <c r="C23" s="822"/>
      <c r="D23" s="578" t="s">
        <v>349</v>
      </c>
      <c r="E23" s="582"/>
      <c r="F23" s="582"/>
      <c r="G23" s="582"/>
      <c r="H23" s="582"/>
      <c r="I23" s="580"/>
      <c r="J23" s="581"/>
      <c r="K23" s="580"/>
      <c r="L23" s="580"/>
      <c r="M23" s="580">
        <f>+M22*$Z$11/$Z$10</f>
        <v>7058819.8198198201</v>
      </c>
      <c r="N23" s="582">
        <f>+N22*$AA$11/$AA$10</f>
        <v>6073868.2170542637</v>
      </c>
      <c r="O23" s="582">
        <f>+O22*$AB$11/$AB$10</f>
        <v>5523734.6938775508</v>
      </c>
      <c r="P23" s="580">
        <f>+P22*$AC$11/$AC$10</f>
        <v>4921145.4545454541</v>
      </c>
      <c r="Q23" s="580">
        <f>+Q22*$AD$11/$AD$10</f>
        <v>4639937.1428571427</v>
      </c>
      <c r="R23" s="580">
        <f>+R22*$AE$11/$AE$10</f>
        <v>4593616.5783783784</v>
      </c>
      <c r="S23" s="580"/>
      <c r="T23" s="575"/>
      <c r="U23" s="580">
        <f t="shared" si="5"/>
        <v>0</v>
      </c>
      <c r="V23" s="580"/>
      <c r="W23" s="581"/>
      <c r="X23" s="580"/>
      <c r="Y23" s="580"/>
      <c r="Z23" s="580">
        <f t="shared" si="2"/>
        <v>7058819.8198198201</v>
      </c>
      <c r="AA23" s="580">
        <f t="shared" si="2"/>
        <v>6073868.2170542637</v>
      </c>
      <c r="AB23" s="580">
        <f t="shared" si="2"/>
        <v>5523734.6938775508</v>
      </c>
      <c r="AC23" s="580">
        <f t="shared" si="2"/>
        <v>4921145.4545454541</v>
      </c>
      <c r="AD23" s="580">
        <f t="shared" si="2"/>
        <v>4639937.1428571427</v>
      </c>
      <c r="AE23" s="580">
        <f t="shared" si="2"/>
        <v>4593616.5783783784</v>
      </c>
      <c r="AF23" s="838"/>
      <c r="AG23" s="828"/>
      <c r="AH23" s="822"/>
      <c r="AI23" s="822"/>
      <c r="AJ23" s="657" t="s">
        <v>501</v>
      </c>
      <c r="AK23" s="806"/>
      <c r="AL23" s="806"/>
      <c r="AM23" s="806"/>
      <c r="AN23" s="806"/>
      <c r="AO23" s="806"/>
      <c r="AP23" s="806"/>
      <c r="AQ23" s="806"/>
      <c r="AR23" s="806"/>
      <c r="AS23" s="806"/>
      <c r="AT23" s="806"/>
      <c r="AU23" s="806"/>
      <c r="AV23" s="806"/>
      <c r="AW23" s="806"/>
      <c r="AX23" s="806"/>
      <c r="AY23" s="584"/>
    </row>
    <row r="24" spans="1:51" ht="28.9" customHeight="1" x14ac:dyDescent="0.25">
      <c r="A24" s="828"/>
      <c r="B24" s="822"/>
      <c r="C24" s="822"/>
      <c r="D24" s="579" t="s">
        <v>351</v>
      </c>
      <c r="E24" s="582"/>
      <c r="F24" s="582"/>
      <c r="G24" s="582"/>
      <c r="H24" s="582"/>
      <c r="I24" s="580"/>
      <c r="J24" s="581"/>
      <c r="K24" s="580"/>
      <c r="L24" s="580"/>
      <c r="M24" s="581"/>
      <c r="N24" s="582"/>
      <c r="O24" s="582"/>
      <c r="P24" s="580"/>
      <c r="Q24" s="580"/>
      <c r="R24" s="580"/>
      <c r="S24" s="580"/>
      <c r="T24" s="575"/>
      <c r="U24" s="580">
        <f t="shared" si="5"/>
        <v>0</v>
      </c>
      <c r="V24" s="580"/>
      <c r="W24" s="581"/>
      <c r="X24" s="580"/>
      <c r="Y24" s="580"/>
      <c r="Z24" s="581">
        <f t="shared" si="2"/>
        <v>0</v>
      </c>
      <c r="AA24" s="580">
        <f t="shared" si="2"/>
        <v>0</v>
      </c>
      <c r="AB24" s="580">
        <f t="shared" si="2"/>
        <v>0</v>
      </c>
      <c r="AC24" s="580">
        <f t="shared" si="2"/>
        <v>0</v>
      </c>
      <c r="AD24" s="580">
        <f t="shared" si="2"/>
        <v>0</v>
      </c>
      <c r="AE24" s="580">
        <f t="shared" si="2"/>
        <v>0</v>
      </c>
      <c r="AF24" s="838"/>
      <c r="AG24" s="828"/>
      <c r="AH24" s="822"/>
      <c r="AI24" s="822"/>
      <c r="AJ24" s="657" t="s">
        <v>502</v>
      </c>
      <c r="AK24" s="806"/>
      <c r="AL24" s="806"/>
      <c r="AM24" s="806"/>
      <c r="AN24" s="806"/>
      <c r="AO24" s="806"/>
      <c r="AP24" s="806"/>
      <c r="AQ24" s="806"/>
      <c r="AR24" s="806"/>
      <c r="AS24" s="806"/>
      <c r="AT24" s="806"/>
      <c r="AU24" s="806"/>
      <c r="AV24" s="806"/>
      <c r="AW24" s="806"/>
      <c r="AX24" s="806"/>
      <c r="AY24" s="584"/>
    </row>
    <row r="25" spans="1:51" ht="45.6" customHeight="1" x14ac:dyDescent="0.25">
      <c r="A25" s="828"/>
      <c r="B25" s="822"/>
      <c r="C25" s="822"/>
      <c r="D25" s="578" t="s">
        <v>352</v>
      </c>
      <c r="E25" s="582"/>
      <c r="F25" s="582"/>
      <c r="G25" s="582"/>
      <c r="H25" s="582"/>
      <c r="I25" s="580"/>
      <c r="J25" s="581"/>
      <c r="K25" s="580"/>
      <c r="L25" s="580"/>
      <c r="M25" s="581"/>
      <c r="N25" s="582"/>
      <c r="O25" s="582"/>
      <c r="P25" s="580">
        <v>12948133.842105264</v>
      </c>
      <c r="Q25" s="580">
        <v>12948133.842105264</v>
      </c>
      <c r="R25" s="580">
        <v>12948133.842105264</v>
      </c>
      <c r="S25" s="580"/>
      <c r="T25" s="575"/>
      <c r="U25" s="580">
        <f t="shared" si="5"/>
        <v>0</v>
      </c>
      <c r="V25" s="580"/>
      <c r="W25" s="581"/>
      <c r="X25" s="580"/>
      <c r="Y25" s="580"/>
      <c r="Z25" s="581">
        <f t="shared" si="2"/>
        <v>0</v>
      </c>
      <c r="AA25" s="580">
        <f t="shared" si="2"/>
        <v>0</v>
      </c>
      <c r="AB25" s="580">
        <f t="shared" si="2"/>
        <v>0</v>
      </c>
      <c r="AC25" s="580">
        <f t="shared" si="2"/>
        <v>12948133.842105264</v>
      </c>
      <c r="AD25" s="580">
        <f t="shared" si="2"/>
        <v>12948133.842105264</v>
      </c>
      <c r="AE25" s="580">
        <f t="shared" si="2"/>
        <v>12948133.842105264</v>
      </c>
      <c r="AF25" s="838"/>
      <c r="AG25" s="828"/>
      <c r="AH25" s="822"/>
      <c r="AI25" s="822"/>
      <c r="AJ25" s="657" t="s">
        <v>503</v>
      </c>
      <c r="AK25" s="806"/>
      <c r="AL25" s="806"/>
      <c r="AM25" s="806"/>
      <c r="AN25" s="806"/>
      <c r="AO25" s="806"/>
      <c r="AP25" s="806"/>
      <c r="AQ25" s="806"/>
      <c r="AR25" s="806"/>
      <c r="AS25" s="806"/>
      <c r="AT25" s="806"/>
      <c r="AU25" s="806"/>
      <c r="AV25" s="806"/>
      <c r="AW25" s="806"/>
      <c r="AX25" s="806"/>
      <c r="AY25" s="584"/>
    </row>
    <row r="26" spans="1:51" ht="72" customHeight="1" x14ac:dyDescent="0.25">
      <c r="A26" s="828"/>
      <c r="B26" s="822"/>
      <c r="C26" s="822"/>
      <c r="D26" s="579" t="s">
        <v>353</v>
      </c>
      <c r="E26" s="582"/>
      <c r="F26" s="582"/>
      <c r="G26" s="582"/>
      <c r="H26" s="582"/>
      <c r="I26" s="580"/>
      <c r="J26" s="581"/>
      <c r="K26" s="580"/>
      <c r="L26" s="580"/>
      <c r="M26" s="581">
        <v>1</v>
      </c>
      <c r="N26" s="582">
        <v>1</v>
      </c>
      <c r="O26" s="582">
        <v>1</v>
      </c>
      <c r="P26" s="580">
        <v>1</v>
      </c>
      <c r="Q26" s="580">
        <v>1</v>
      </c>
      <c r="R26" s="580">
        <v>1</v>
      </c>
      <c r="S26" s="580"/>
      <c r="T26" s="575"/>
      <c r="U26" s="580">
        <f t="shared" si="5"/>
        <v>0</v>
      </c>
      <c r="V26" s="580"/>
      <c r="W26" s="581"/>
      <c r="X26" s="580"/>
      <c r="Y26" s="580"/>
      <c r="Z26" s="581">
        <f t="shared" si="2"/>
        <v>1</v>
      </c>
      <c r="AA26" s="580">
        <f t="shared" si="2"/>
        <v>1</v>
      </c>
      <c r="AB26" s="580">
        <f t="shared" si="2"/>
        <v>1</v>
      </c>
      <c r="AC26" s="580">
        <f t="shared" si="2"/>
        <v>1</v>
      </c>
      <c r="AD26" s="580">
        <f t="shared" si="2"/>
        <v>1</v>
      </c>
      <c r="AE26" s="580">
        <f t="shared" si="2"/>
        <v>1</v>
      </c>
      <c r="AF26" s="838"/>
      <c r="AG26" s="828"/>
      <c r="AH26" s="822"/>
      <c r="AI26" s="822"/>
      <c r="AJ26" s="658" t="s">
        <v>504</v>
      </c>
      <c r="AK26" s="806"/>
      <c r="AL26" s="806"/>
      <c r="AM26" s="806"/>
      <c r="AN26" s="806"/>
      <c r="AO26" s="806"/>
      <c r="AP26" s="806"/>
      <c r="AQ26" s="806"/>
      <c r="AR26" s="806"/>
      <c r="AS26" s="806"/>
      <c r="AT26" s="806"/>
      <c r="AU26" s="806"/>
      <c r="AV26" s="806"/>
      <c r="AW26" s="806"/>
      <c r="AX26" s="806"/>
      <c r="AY26" s="584"/>
    </row>
    <row r="27" spans="1:51" ht="28.9" customHeight="1" thickBot="1" x14ac:dyDescent="0.3">
      <c r="A27" s="828"/>
      <c r="B27" s="822"/>
      <c r="C27" s="823"/>
      <c r="D27" s="578" t="s">
        <v>354</v>
      </c>
      <c r="E27" s="582"/>
      <c r="F27" s="582"/>
      <c r="G27" s="582"/>
      <c r="H27" s="582"/>
      <c r="I27" s="580"/>
      <c r="J27" s="581"/>
      <c r="K27" s="580"/>
      <c r="L27" s="580"/>
      <c r="M27" s="580">
        <f t="shared" ref="M27:O27" si="6">+M23</f>
        <v>7058819.8198198201</v>
      </c>
      <c r="N27" s="582">
        <f t="shared" si="6"/>
        <v>6073868.2170542637</v>
      </c>
      <c r="O27" s="582">
        <f t="shared" si="6"/>
        <v>5523734.6938775508</v>
      </c>
      <c r="P27" s="580">
        <f t="shared" ref="P27:R27" si="7">+P23+P25</f>
        <v>17869279.296650719</v>
      </c>
      <c r="Q27" s="580">
        <f t="shared" si="7"/>
        <v>17588070.984962407</v>
      </c>
      <c r="R27" s="580">
        <f t="shared" si="7"/>
        <v>17541750.420483641</v>
      </c>
      <c r="S27" s="580"/>
      <c r="T27" s="575"/>
      <c r="U27" s="580">
        <f t="shared" si="5"/>
        <v>0</v>
      </c>
      <c r="V27" s="580"/>
      <c r="W27" s="581"/>
      <c r="X27" s="580"/>
      <c r="Y27" s="580"/>
      <c r="Z27" s="580">
        <f t="shared" si="2"/>
        <v>7058819.8198198201</v>
      </c>
      <c r="AA27" s="580">
        <f t="shared" si="2"/>
        <v>6073868.2170542637</v>
      </c>
      <c r="AB27" s="580">
        <f t="shared" si="2"/>
        <v>5523734.6938775508</v>
      </c>
      <c r="AC27" s="580">
        <f t="shared" si="2"/>
        <v>17869279.296650719</v>
      </c>
      <c r="AD27" s="580">
        <f t="shared" si="2"/>
        <v>17588070.984962407</v>
      </c>
      <c r="AE27" s="580">
        <f t="shared" si="2"/>
        <v>17541750.420483641</v>
      </c>
      <c r="AF27" s="906"/>
      <c r="AG27" s="829"/>
      <c r="AH27" s="823"/>
      <c r="AI27" s="823"/>
      <c r="AJ27" s="659" t="s">
        <v>505</v>
      </c>
      <c r="AK27" s="807"/>
      <c r="AL27" s="807"/>
      <c r="AM27" s="807"/>
      <c r="AN27" s="807"/>
      <c r="AO27" s="807"/>
      <c r="AP27" s="807"/>
      <c r="AQ27" s="807"/>
      <c r="AR27" s="807"/>
      <c r="AS27" s="807"/>
      <c r="AT27" s="807"/>
      <c r="AU27" s="807"/>
      <c r="AV27" s="807"/>
      <c r="AW27" s="807"/>
      <c r="AX27" s="807"/>
      <c r="AY27" s="584"/>
    </row>
    <row r="28" spans="1:51" ht="22.9" customHeight="1" x14ac:dyDescent="0.25">
      <c r="A28" s="828"/>
      <c r="B28" s="822"/>
      <c r="C28" s="821" t="s">
        <v>511</v>
      </c>
      <c r="D28" s="572" t="s">
        <v>345</v>
      </c>
      <c r="E28" s="582"/>
      <c r="F28" s="582"/>
      <c r="G28" s="582"/>
      <c r="H28" s="582">
        <v>1</v>
      </c>
      <c r="I28" s="580">
        <v>2</v>
      </c>
      <c r="J28" s="581">
        <v>2</v>
      </c>
      <c r="K28" s="580">
        <v>2</v>
      </c>
      <c r="L28" s="580">
        <v>3</v>
      </c>
      <c r="M28" s="581">
        <v>4</v>
      </c>
      <c r="N28" s="582">
        <v>6</v>
      </c>
      <c r="O28" s="582">
        <v>6</v>
      </c>
      <c r="P28" s="580">
        <v>7</v>
      </c>
      <c r="Q28" s="580">
        <v>8</v>
      </c>
      <c r="R28" s="580">
        <v>9</v>
      </c>
      <c r="S28" s="580"/>
      <c r="T28" s="575"/>
      <c r="U28" s="580">
        <f t="shared" si="5"/>
        <v>1</v>
      </c>
      <c r="V28" s="580">
        <f t="shared" si="5"/>
        <v>2</v>
      </c>
      <c r="W28" s="581">
        <f t="shared" si="5"/>
        <v>2</v>
      </c>
      <c r="X28" s="580">
        <f t="shared" si="5"/>
        <v>2</v>
      </c>
      <c r="Y28" s="580">
        <f t="shared" si="5"/>
        <v>3</v>
      </c>
      <c r="Z28" s="581">
        <f t="shared" si="5"/>
        <v>4</v>
      </c>
      <c r="AA28" s="580">
        <f t="shared" si="5"/>
        <v>6</v>
      </c>
      <c r="AB28" s="580">
        <f t="shared" si="5"/>
        <v>6</v>
      </c>
      <c r="AC28" s="580">
        <f t="shared" si="5"/>
        <v>7</v>
      </c>
      <c r="AD28" s="580">
        <f t="shared" si="5"/>
        <v>8</v>
      </c>
      <c r="AE28" s="580">
        <f t="shared" si="5"/>
        <v>9</v>
      </c>
      <c r="AF28" s="903" t="s">
        <v>512</v>
      </c>
      <c r="AG28" s="890" t="s">
        <v>513</v>
      </c>
      <c r="AH28" s="824" t="s">
        <v>514</v>
      </c>
      <c r="AI28" s="824" t="s">
        <v>515</v>
      </c>
      <c r="AJ28" s="656" t="s">
        <v>499</v>
      </c>
      <c r="AK28" s="826" t="s">
        <v>490</v>
      </c>
      <c r="AL28" s="826" t="s">
        <v>178</v>
      </c>
      <c r="AM28" s="826" t="s">
        <v>491</v>
      </c>
      <c r="AN28" s="861">
        <v>179406</v>
      </c>
      <c r="AO28" s="820">
        <v>86201</v>
      </c>
      <c r="AP28" s="820">
        <v>93205</v>
      </c>
      <c r="AQ28" s="840" t="s">
        <v>492</v>
      </c>
      <c r="AR28" s="840" t="s">
        <v>492</v>
      </c>
      <c r="AS28" s="840" t="s">
        <v>492</v>
      </c>
      <c r="AT28" s="840" t="s">
        <v>492</v>
      </c>
      <c r="AU28" s="833" t="s">
        <v>492</v>
      </c>
      <c r="AV28" s="833" t="s">
        <v>492</v>
      </c>
      <c r="AW28" s="833" t="s">
        <v>492</v>
      </c>
      <c r="AX28" s="861">
        <v>178317</v>
      </c>
      <c r="AY28" s="584"/>
    </row>
    <row r="29" spans="1:51" ht="34.15" customHeight="1" x14ac:dyDescent="0.25">
      <c r="A29" s="828"/>
      <c r="B29" s="822"/>
      <c r="C29" s="822"/>
      <c r="D29" s="578" t="s">
        <v>349</v>
      </c>
      <c r="E29" s="582"/>
      <c r="F29" s="582"/>
      <c r="G29" s="582"/>
      <c r="H29" s="582">
        <f>+H28*$U$11/$U$10</f>
        <v>34899772.727272727</v>
      </c>
      <c r="I29" s="580">
        <f>+I28*$V$11/$V$10</f>
        <v>38389750</v>
      </c>
      <c r="J29" s="580">
        <f>+J28*$W$11/$W$10</f>
        <v>26940175.438596491</v>
      </c>
      <c r="K29" s="580">
        <f>+K28*$X$11/$X$10</f>
        <v>20474533.333333332</v>
      </c>
      <c r="L29" s="580">
        <f>+L28*$Y$11/$Y$10</f>
        <v>25275129.032258064</v>
      </c>
      <c r="M29" s="580">
        <f>+M28*$Z$11/$Z$10</f>
        <v>28235279.27927928</v>
      </c>
      <c r="N29" s="582">
        <f>+N28*$AA$11/$AA$10</f>
        <v>36443209.302325584</v>
      </c>
      <c r="O29" s="582">
        <f>+O28*$AB$11/$AB$10</f>
        <v>33142408.163265307</v>
      </c>
      <c r="P29" s="580">
        <f>+P28*$AC$11/$AC$10</f>
        <v>34448018.18181818</v>
      </c>
      <c r="Q29" s="580">
        <f>+Q28*$AD$11/$AD$10</f>
        <v>37119497.142857142</v>
      </c>
      <c r="R29" s="580">
        <f>+R28*$AE$11/$AE$10</f>
        <v>41342549.205405407</v>
      </c>
      <c r="S29" s="580"/>
      <c r="T29" s="575"/>
      <c r="U29" s="580">
        <f t="shared" si="5"/>
        <v>34899772.727272727</v>
      </c>
      <c r="V29" s="580">
        <f t="shared" si="5"/>
        <v>38389750</v>
      </c>
      <c r="W29" s="580">
        <f t="shared" si="5"/>
        <v>26940175.438596491</v>
      </c>
      <c r="X29" s="580">
        <f t="shared" si="5"/>
        <v>20474533.333333332</v>
      </c>
      <c r="Y29" s="580">
        <f t="shared" si="5"/>
        <v>25275129.032258064</v>
      </c>
      <c r="Z29" s="580">
        <f t="shared" si="5"/>
        <v>28235279.27927928</v>
      </c>
      <c r="AA29" s="580">
        <f t="shared" si="5"/>
        <v>36443209.302325584</v>
      </c>
      <c r="AB29" s="580">
        <f t="shared" si="5"/>
        <v>33142408.163265307</v>
      </c>
      <c r="AC29" s="580">
        <f t="shared" si="5"/>
        <v>34448018.18181818</v>
      </c>
      <c r="AD29" s="580">
        <f t="shared" si="5"/>
        <v>37119497.142857142</v>
      </c>
      <c r="AE29" s="580">
        <f t="shared" si="5"/>
        <v>41342549.205405407</v>
      </c>
      <c r="AF29" s="904"/>
      <c r="AG29" s="828"/>
      <c r="AH29" s="822"/>
      <c r="AI29" s="822"/>
      <c r="AJ29" s="657" t="s">
        <v>501</v>
      </c>
      <c r="AK29" s="806"/>
      <c r="AL29" s="806"/>
      <c r="AM29" s="806"/>
      <c r="AN29" s="806"/>
      <c r="AO29" s="806"/>
      <c r="AP29" s="806"/>
      <c r="AQ29" s="806"/>
      <c r="AR29" s="806"/>
      <c r="AS29" s="806"/>
      <c r="AT29" s="806"/>
      <c r="AU29" s="806"/>
      <c r="AV29" s="806"/>
      <c r="AW29" s="806"/>
      <c r="AX29" s="806"/>
      <c r="AY29" s="584"/>
    </row>
    <row r="30" spans="1:51" ht="28.9" customHeight="1" x14ac:dyDescent="0.25">
      <c r="A30" s="828"/>
      <c r="B30" s="822"/>
      <c r="C30" s="822"/>
      <c r="D30" s="579" t="s">
        <v>351</v>
      </c>
      <c r="E30" s="582"/>
      <c r="F30" s="582"/>
      <c r="G30" s="582"/>
      <c r="H30" s="582"/>
      <c r="I30" s="580"/>
      <c r="J30" s="581"/>
      <c r="K30" s="580"/>
      <c r="L30" s="580"/>
      <c r="M30" s="581"/>
      <c r="N30" s="582"/>
      <c r="O30" s="582"/>
      <c r="P30" s="580"/>
      <c r="Q30" s="580"/>
      <c r="R30" s="580"/>
      <c r="S30" s="580"/>
      <c r="T30" s="575"/>
      <c r="U30" s="580">
        <f t="shared" si="5"/>
        <v>0</v>
      </c>
      <c r="V30" s="580">
        <f t="shared" si="5"/>
        <v>0</v>
      </c>
      <c r="W30" s="581">
        <f t="shared" si="5"/>
        <v>0</v>
      </c>
      <c r="X30" s="580">
        <f t="shared" si="5"/>
        <v>0</v>
      </c>
      <c r="Y30" s="580">
        <f t="shared" si="5"/>
        <v>0</v>
      </c>
      <c r="Z30" s="581">
        <f t="shared" si="5"/>
        <v>0</v>
      </c>
      <c r="AA30" s="580">
        <f t="shared" si="5"/>
        <v>0</v>
      </c>
      <c r="AB30" s="580">
        <f t="shared" si="5"/>
        <v>0</v>
      </c>
      <c r="AC30" s="580">
        <f t="shared" si="5"/>
        <v>0</v>
      </c>
      <c r="AD30" s="580">
        <f t="shared" si="5"/>
        <v>0</v>
      </c>
      <c r="AE30" s="580">
        <f t="shared" si="5"/>
        <v>0</v>
      </c>
      <c r="AF30" s="904"/>
      <c r="AG30" s="828"/>
      <c r="AH30" s="822"/>
      <c r="AI30" s="822"/>
      <c r="AJ30" s="657" t="s">
        <v>502</v>
      </c>
      <c r="AK30" s="806"/>
      <c r="AL30" s="806"/>
      <c r="AM30" s="806"/>
      <c r="AN30" s="806"/>
      <c r="AO30" s="806"/>
      <c r="AP30" s="806"/>
      <c r="AQ30" s="806"/>
      <c r="AR30" s="806"/>
      <c r="AS30" s="806"/>
      <c r="AT30" s="806"/>
      <c r="AU30" s="806"/>
      <c r="AV30" s="806"/>
      <c r="AW30" s="806"/>
      <c r="AX30" s="806"/>
      <c r="AY30" s="584"/>
    </row>
    <row r="31" spans="1:51" ht="45.6" customHeight="1" x14ac:dyDescent="0.25">
      <c r="A31" s="828"/>
      <c r="B31" s="822"/>
      <c r="C31" s="822"/>
      <c r="D31" s="578" t="s">
        <v>352</v>
      </c>
      <c r="E31" s="582"/>
      <c r="F31" s="582"/>
      <c r="G31" s="582"/>
      <c r="H31" s="583">
        <v>6088333.7142857146</v>
      </c>
      <c r="I31" s="575">
        <f>+$V$13/17</f>
        <v>6530118.4117647056</v>
      </c>
      <c r="J31" s="575">
        <f>+$W$13/17</f>
        <v>8720535.2352941185</v>
      </c>
      <c r="K31" s="575">
        <f>+$X$13/17</f>
        <v>11096790.529411765</v>
      </c>
      <c r="L31" s="575">
        <f t="shared" ref="L31:O31" si="8">+$Y$13/18</f>
        <v>13665398.388888888</v>
      </c>
      <c r="M31" s="575">
        <f t="shared" si="8"/>
        <v>13665398.388888888</v>
      </c>
      <c r="N31" s="583">
        <f t="shared" si="8"/>
        <v>13665398.388888888</v>
      </c>
      <c r="O31" s="583">
        <f t="shared" si="8"/>
        <v>13665398.388888888</v>
      </c>
      <c r="P31" s="575">
        <v>12948133.842105264</v>
      </c>
      <c r="Q31" s="575">
        <v>12948133.842105264</v>
      </c>
      <c r="R31" s="575">
        <v>12948133.842105264</v>
      </c>
      <c r="S31" s="575"/>
      <c r="T31" s="575"/>
      <c r="U31" s="580">
        <f t="shared" si="5"/>
        <v>6088333.7142857146</v>
      </c>
      <c r="V31" s="580">
        <f t="shared" si="5"/>
        <v>6530118.4117647056</v>
      </c>
      <c r="W31" s="574">
        <f t="shared" si="5"/>
        <v>8720535.2352941185</v>
      </c>
      <c r="X31" s="580">
        <f t="shared" si="5"/>
        <v>11096790.529411765</v>
      </c>
      <c r="Y31" s="580">
        <f t="shared" si="5"/>
        <v>13665398.388888888</v>
      </c>
      <c r="Z31" s="574">
        <f t="shared" si="5"/>
        <v>13665398.388888888</v>
      </c>
      <c r="AA31" s="580">
        <f t="shared" si="5"/>
        <v>13665398.388888888</v>
      </c>
      <c r="AB31" s="580">
        <f t="shared" si="5"/>
        <v>13665398.388888888</v>
      </c>
      <c r="AC31" s="580">
        <f t="shared" si="5"/>
        <v>12948133.842105264</v>
      </c>
      <c r="AD31" s="580">
        <f t="shared" si="5"/>
        <v>12948133.842105264</v>
      </c>
      <c r="AE31" s="575">
        <f t="shared" si="5"/>
        <v>12948133.842105264</v>
      </c>
      <c r="AF31" s="904"/>
      <c r="AG31" s="828"/>
      <c r="AH31" s="822"/>
      <c r="AI31" s="822"/>
      <c r="AJ31" s="657" t="s">
        <v>503</v>
      </c>
      <c r="AK31" s="806"/>
      <c r="AL31" s="806"/>
      <c r="AM31" s="806"/>
      <c r="AN31" s="806"/>
      <c r="AO31" s="806"/>
      <c r="AP31" s="806"/>
      <c r="AQ31" s="806"/>
      <c r="AR31" s="806"/>
      <c r="AS31" s="806"/>
      <c r="AT31" s="806"/>
      <c r="AU31" s="806"/>
      <c r="AV31" s="806"/>
      <c r="AW31" s="806"/>
      <c r="AX31" s="806"/>
      <c r="AY31" s="584"/>
    </row>
    <row r="32" spans="1:51" ht="72" customHeight="1" x14ac:dyDescent="0.25">
      <c r="A32" s="828"/>
      <c r="B32" s="822"/>
      <c r="C32" s="822"/>
      <c r="D32" s="579" t="s">
        <v>353</v>
      </c>
      <c r="E32" s="582"/>
      <c r="F32" s="582"/>
      <c r="G32" s="582"/>
      <c r="H32" s="582">
        <v>1</v>
      </c>
      <c r="I32" s="580">
        <v>2</v>
      </c>
      <c r="J32" s="581">
        <v>2</v>
      </c>
      <c r="K32" s="580">
        <v>2</v>
      </c>
      <c r="L32" s="580">
        <v>3</v>
      </c>
      <c r="M32" s="581">
        <v>4</v>
      </c>
      <c r="N32" s="582">
        <v>6</v>
      </c>
      <c r="O32" s="582">
        <v>6</v>
      </c>
      <c r="P32" s="580">
        <v>7</v>
      </c>
      <c r="Q32" s="580">
        <v>8</v>
      </c>
      <c r="R32" s="580">
        <v>9</v>
      </c>
      <c r="S32" s="580"/>
      <c r="T32" s="575"/>
      <c r="U32" s="580">
        <f t="shared" si="5"/>
        <v>1</v>
      </c>
      <c r="V32" s="580">
        <f t="shared" si="5"/>
        <v>2</v>
      </c>
      <c r="W32" s="581">
        <f t="shared" si="5"/>
        <v>2</v>
      </c>
      <c r="X32" s="580">
        <f t="shared" si="5"/>
        <v>2</v>
      </c>
      <c r="Y32" s="580">
        <f t="shared" si="5"/>
        <v>3</v>
      </c>
      <c r="Z32" s="581">
        <f t="shared" si="5"/>
        <v>4</v>
      </c>
      <c r="AA32" s="580">
        <f t="shared" si="5"/>
        <v>6</v>
      </c>
      <c r="AB32" s="580">
        <f t="shared" si="5"/>
        <v>6</v>
      </c>
      <c r="AC32" s="580">
        <f t="shared" si="5"/>
        <v>7</v>
      </c>
      <c r="AD32" s="580">
        <f t="shared" si="5"/>
        <v>8</v>
      </c>
      <c r="AE32" s="580">
        <f t="shared" si="5"/>
        <v>9</v>
      </c>
      <c r="AF32" s="904"/>
      <c r="AG32" s="828"/>
      <c r="AH32" s="822"/>
      <c r="AI32" s="822"/>
      <c r="AJ32" s="660" t="s">
        <v>504</v>
      </c>
      <c r="AK32" s="806"/>
      <c r="AL32" s="806"/>
      <c r="AM32" s="806"/>
      <c r="AN32" s="806"/>
      <c r="AO32" s="806"/>
      <c r="AP32" s="806"/>
      <c r="AQ32" s="806"/>
      <c r="AR32" s="806"/>
      <c r="AS32" s="806"/>
      <c r="AT32" s="806"/>
      <c r="AU32" s="806"/>
      <c r="AV32" s="806"/>
      <c r="AW32" s="806"/>
      <c r="AX32" s="806"/>
      <c r="AY32" s="584"/>
    </row>
    <row r="33" spans="1:51" ht="28.9" customHeight="1" thickBot="1" x14ac:dyDescent="0.3">
      <c r="A33" s="828"/>
      <c r="B33" s="822"/>
      <c r="C33" s="823"/>
      <c r="D33" s="578" t="s">
        <v>354</v>
      </c>
      <c r="E33" s="582"/>
      <c r="F33" s="582"/>
      <c r="G33" s="582"/>
      <c r="H33" s="582">
        <f t="shared" ref="H33:R33" si="9">+H29+H31</f>
        <v>40988106.441558443</v>
      </c>
      <c r="I33" s="580">
        <f t="shared" si="9"/>
        <v>44919868.411764704</v>
      </c>
      <c r="J33" s="580">
        <f t="shared" si="9"/>
        <v>35660710.673890606</v>
      </c>
      <c r="K33" s="580">
        <f t="shared" si="9"/>
        <v>31571323.862745099</v>
      </c>
      <c r="L33" s="580">
        <f t="shared" si="9"/>
        <v>38940527.421146952</v>
      </c>
      <c r="M33" s="580">
        <f t="shared" si="9"/>
        <v>41900677.668168172</v>
      </c>
      <c r="N33" s="582">
        <f t="shared" si="9"/>
        <v>50108607.691214472</v>
      </c>
      <c r="O33" s="582">
        <f t="shared" si="9"/>
        <v>46807806.552154198</v>
      </c>
      <c r="P33" s="580">
        <f t="shared" si="9"/>
        <v>47396152.023923442</v>
      </c>
      <c r="Q33" s="580">
        <f t="shared" si="9"/>
        <v>50067630.984962404</v>
      </c>
      <c r="R33" s="580">
        <f t="shared" si="9"/>
        <v>54290683.047510669</v>
      </c>
      <c r="S33" s="580"/>
      <c r="T33" s="575"/>
      <c r="U33" s="580">
        <f t="shared" si="5"/>
        <v>40988106.441558443</v>
      </c>
      <c r="V33" s="580">
        <f t="shared" si="5"/>
        <v>44919868.411764704</v>
      </c>
      <c r="W33" s="580">
        <f t="shared" si="5"/>
        <v>35660710.673890606</v>
      </c>
      <c r="X33" s="580">
        <f t="shared" si="5"/>
        <v>31571323.862745099</v>
      </c>
      <c r="Y33" s="580">
        <f t="shared" si="5"/>
        <v>38940527.421146952</v>
      </c>
      <c r="Z33" s="580">
        <f t="shared" si="5"/>
        <v>41900677.668168172</v>
      </c>
      <c r="AA33" s="580">
        <f t="shared" si="5"/>
        <v>50108607.691214472</v>
      </c>
      <c r="AB33" s="580">
        <f t="shared" si="5"/>
        <v>46807806.552154198</v>
      </c>
      <c r="AC33" s="580">
        <f t="shared" si="5"/>
        <v>47396152.023923442</v>
      </c>
      <c r="AD33" s="580">
        <f t="shared" si="5"/>
        <v>50067630.984962404</v>
      </c>
      <c r="AE33" s="580">
        <f t="shared" si="5"/>
        <v>54290683.047510669</v>
      </c>
      <c r="AF33" s="905"/>
      <c r="AG33" s="829"/>
      <c r="AH33" s="823"/>
      <c r="AI33" s="823"/>
      <c r="AJ33" s="659" t="s">
        <v>505</v>
      </c>
      <c r="AK33" s="807"/>
      <c r="AL33" s="807"/>
      <c r="AM33" s="807"/>
      <c r="AN33" s="807"/>
      <c r="AO33" s="807"/>
      <c r="AP33" s="807"/>
      <c r="AQ33" s="807"/>
      <c r="AR33" s="807"/>
      <c r="AS33" s="807"/>
      <c r="AT33" s="807"/>
      <c r="AU33" s="807"/>
      <c r="AV33" s="807"/>
      <c r="AW33" s="807"/>
      <c r="AX33" s="807"/>
      <c r="AY33" s="584"/>
    </row>
    <row r="34" spans="1:51" ht="22.9" customHeight="1" x14ac:dyDescent="0.25">
      <c r="A34" s="828"/>
      <c r="B34" s="822"/>
      <c r="C34" s="821" t="s">
        <v>516</v>
      </c>
      <c r="D34" s="572" t="s">
        <v>345</v>
      </c>
      <c r="E34" s="582"/>
      <c r="F34" s="582"/>
      <c r="G34" s="582"/>
      <c r="H34" s="582">
        <v>1</v>
      </c>
      <c r="I34" s="580">
        <v>2</v>
      </c>
      <c r="J34" s="580">
        <v>2</v>
      </c>
      <c r="K34" s="580">
        <v>2</v>
      </c>
      <c r="L34" s="580">
        <v>2</v>
      </c>
      <c r="M34" s="581">
        <v>2</v>
      </c>
      <c r="N34" s="582">
        <v>2</v>
      </c>
      <c r="O34" s="582">
        <v>2</v>
      </c>
      <c r="P34" s="580">
        <v>2</v>
      </c>
      <c r="Q34" s="580">
        <v>4</v>
      </c>
      <c r="R34" s="580">
        <v>4</v>
      </c>
      <c r="S34" s="580"/>
      <c r="T34" s="575"/>
      <c r="U34" s="580">
        <v>1</v>
      </c>
      <c r="V34" s="580">
        <v>2</v>
      </c>
      <c r="W34" s="581">
        <v>2</v>
      </c>
      <c r="X34" s="580">
        <v>2</v>
      </c>
      <c r="Y34" s="580">
        <v>2</v>
      </c>
      <c r="Z34" s="581">
        <f t="shared" si="5"/>
        <v>2</v>
      </c>
      <c r="AA34" s="580">
        <f t="shared" si="5"/>
        <v>2</v>
      </c>
      <c r="AB34" s="580">
        <f t="shared" si="5"/>
        <v>2</v>
      </c>
      <c r="AC34" s="580">
        <f t="shared" si="5"/>
        <v>2</v>
      </c>
      <c r="AD34" s="580">
        <f t="shared" si="5"/>
        <v>4</v>
      </c>
      <c r="AE34" s="580">
        <f t="shared" si="5"/>
        <v>4</v>
      </c>
      <c r="AF34" s="899" t="s">
        <v>517</v>
      </c>
      <c r="AG34" s="827" t="s">
        <v>518</v>
      </c>
      <c r="AH34" s="824" t="s">
        <v>519</v>
      </c>
      <c r="AI34" s="824" t="s">
        <v>520</v>
      </c>
      <c r="AJ34" s="656" t="s">
        <v>499</v>
      </c>
      <c r="AK34" s="826" t="s">
        <v>490</v>
      </c>
      <c r="AL34" s="826" t="s">
        <v>521</v>
      </c>
      <c r="AM34" s="826" t="s">
        <v>491</v>
      </c>
      <c r="AN34" s="861">
        <v>107677</v>
      </c>
      <c r="AO34" s="820">
        <v>53035</v>
      </c>
      <c r="AP34" s="820">
        <v>54642</v>
      </c>
      <c r="AQ34" s="840" t="s">
        <v>492</v>
      </c>
      <c r="AR34" s="840" t="s">
        <v>492</v>
      </c>
      <c r="AS34" s="840" t="s">
        <v>492</v>
      </c>
      <c r="AT34" s="840" t="s">
        <v>492</v>
      </c>
      <c r="AU34" s="833" t="s">
        <v>492</v>
      </c>
      <c r="AV34" s="833" t="s">
        <v>492</v>
      </c>
      <c r="AW34" s="833" t="s">
        <v>492</v>
      </c>
      <c r="AX34" s="861">
        <v>106587</v>
      </c>
      <c r="AY34" s="584"/>
    </row>
    <row r="35" spans="1:51" ht="34.15" customHeight="1" x14ac:dyDescent="0.25">
      <c r="A35" s="828"/>
      <c r="B35" s="822"/>
      <c r="C35" s="822"/>
      <c r="D35" s="578" t="s">
        <v>349</v>
      </c>
      <c r="E35" s="582"/>
      <c r="F35" s="582"/>
      <c r="G35" s="582"/>
      <c r="H35" s="582">
        <v>34899772.727272727</v>
      </c>
      <c r="I35" s="580">
        <v>38389750</v>
      </c>
      <c r="J35" s="580">
        <v>26940175.438596491</v>
      </c>
      <c r="K35" s="580">
        <v>20474533.333333332</v>
      </c>
      <c r="L35" s="580">
        <v>16850086.021505378</v>
      </c>
      <c r="M35" s="580">
        <f>+M34*$Z$11/$Z$10</f>
        <v>14117639.63963964</v>
      </c>
      <c r="N35" s="582">
        <f>+N34*$AA$11/$AA$10</f>
        <v>12147736.434108527</v>
      </c>
      <c r="O35" s="582">
        <f>+O34*$AB$11/$AB$10</f>
        <v>11047469.387755102</v>
      </c>
      <c r="P35" s="580">
        <f>+P34*$AC$11/$AC$10</f>
        <v>9842290.9090909082</v>
      </c>
      <c r="Q35" s="580">
        <f>+Q34*$AD$11/$AD$10</f>
        <v>18559748.571428571</v>
      </c>
      <c r="R35" s="580">
        <f>+R34*$AE$11/$AE$10</f>
        <v>18374466.313513514</v>
      </c>
      <c r="S35" s="580"/>
      <c r="T35" s="575"/>
      <c r="U35" s="580">
        <v>34899772.727272727</v>
      </c>
      <c r="V35" s="580">
        <v>38389750</v>
      </c>
      <c r="W35" s="581">
        <v>26940175.438596491</v>
      </c>
      <c r="X35" s="580">
        <v>20474533.333333332</v>
      </c>
      <c r="Y35" s="580">
        <v>16850086.021505378</v>
      </c>
      <c r="Z35" s="580">
        <f t="shared" si="5"/>
        <v>14117639.63963964</v>
      </c>
      <c r="AA35" s="580">
        <f t="shared" si="5"/>
        <v>12147736.434108527</v>
      </c>
      <c r="AB35" s="580">
        <f t="shared" si="5"/>
        <v>11047469.387755102</v>
      </c>
      <c r="AC35" s="580">
        <f t="shared" si="5"/>
        <v>9842290.9090909082</v>
      </c>
      <c r="AD35" s="580">
        <f t="shared" si="5"/>
        <v>18559748.571428571</v>
      </c>
      <c r="AE35" s="580">
        <f t="shared" si="5"/>
        <v>18374466.313513514</v>
      </c>
      <c r="AF35" s="838"/>
      <c r="AG35" s="828"/>
      <c r="AH35" s="822"/>
      <c r="AI35" s="822"/>
      <c r="AJ35" s="657" t="s">
        <v>501</v>
      </c>
      <c r="AK35" s="806"/>
      <c r="AL35" s="806"/>
      <c r="AM35" s="806"/>
      <c r="AN35" s="806"/>
      <c r="AO35" s="806"/>
      <c r="AP35" s="806"/>
      <c r="AQ35" s="806"/>
      <c r="AR35" s="806"/>
      <c r="AS35" s="806"/>
      <c r="AT35" s="806"/>
      <c r="AU35" s="806"/>
      <c r="AV35" s="806"/>
      <c r="AW35" s="806"/>
      <c r="AX35" s="806"/>
      <c r="AY35" s="584"/>
    </row>
    <row r="36" spans="1:51" ht="28.9" customHeight="1" x14ac:dyDescent="0.25">
      <c r="A36" s="828"/>
      <c r="B36" s="822"/>
      <c r="C36" s="822"/>
      <c r="D36" s="579" t="s">
        <v>351</v>
      </c>
      <c r="E36" s="582"/>
      <c r="F36" s="582"/>
      <c r="G36" s="582"/>
      <c r="H36" s="582"/>
      <c r="I36" s="580"/>
      <c r="J36" s="581"/>
      <c r="K36" s="580"/>
      <c r="L36" s="580"/>
      <c r="M36" s="581"/>
      <c r="N36" s="582"/>
      <c r="O36" s="582"/>
      <c r="P36" s="580"/>
      <c r="Q36" s="580"/>
      <c r="R36" s="580"/>
      <c r="S36" s="580"/>
      <c r="T36" s="575"/>
      <c r="U36" s="580">
        <v>0</v>
      </c>
      <c r="V36" s="580">
        <v>0</v>
      </c>
      <c r="W36" s="581">
        <v>0</v>
      </c>
      <c r="X36" s="580">
        <v>0</v>
      </c>
      <c r="Y36" s="580">
        <v>0</v>
      </c>
      <c r="Z36" s="581">
        <f t="shared" si="5"/>
        <v>0</v>
      </c>
      <c r="AA36" s="580">
        <f t="shared" si="5"/>
        <v>0</v>
      </c>
      <c r="AB36" s="580">
        <f t="shared" si="5"/>
        <v>0</v>
      </c>
      <c r="AC36" s="580">
        <f t="shared" si="5"/>
        <v>0</v>
      </c>
      <c r="AD36" s="580">
        <f t="shared" si="5"/>
        <v>0</v>
      </c>
      <c r="AE36" s="580">
        <f t="shared" si="5"/>
        <v>0</v>
      </c>
      <c r="AF36" s="838"/>
      <c r="AG36" s="828"/>
      <c r="AH36" s="822"/>
      <c r="AI36" s="822"/>
      <c r="AJ36" s="657" t="s">
        <v>502</v>
      </c>
      <c r="AK36" s="806"/>
      <c r="AL36" s="806"/>
      <c r="AM36" s="806"/>
      <c r="AN36" s="806"/>
      <c r="AO36" s="806"/>
      <c r="AP36" s="806"/>
      <c r="AQ36" s="806"/>
      <c r="AR36" s="806"/>
      <c r="AS36" s="806"/>
      <c r="AT36" s="806"/>
      <c r="AU36" s="806"/>
      <c r="AV36" s="806"/>
      <c r="AW36" s="806"/>
      <c r="AX36" s="806"/>
      <c r="AY36" s="584"/>
    </row>
    <row r="37" spans="1:51" ht="45.6" customHeight="1" x14ac:dyDescent="0.25">
      <c r="A37" s="828"/>
      <c r="B37" s="822"/>
      <c r="C37" s="822"/>
      <c r="D37" s="578" t="s">
        <v>352</v>
      </c>
      <c r="E37" s="582"/>
      <c r="F37" s="582"/>
      <c r="G37" s="582"/>
      <c r="H37" s="583">
        <v>6088333.7142857146</v>
      </c>
      <c r="I37" s="575">
        <v>6530118.4117647056</v>
      </c>
      <c r="J37" s="575">
        <v>8720535.2352941185</v>
      </c>
      <c r="K37" s="575">
        <v>11096790.529411765</v>
      </c>
      <c r="L37" s="575">
        <v>13665398.388888888</v>
      </c>
      <c r="M37" s="575">
        <v>13665398.388888888</v>
      </c>
      <c r="N37" s="583">
        <v>13665398.388888888</v>
      </c>
      <c r="O37" s="583">
        <v>13665398.388888888</v>
      </c>
      <c r="P37" s="575">
        <v>12948133.842105264</v>
      </c>
      <c r="Q37" s="575">
        <v>12948133.842105264</v>
      </c>
      <c r="R37" s="575">
        <v>12948133.842105264</v>
      </c>
      <c r="S37" s="575"/>
      <c r="T37" s="575"/>
      <c r="U37" s="580">
        <v>6088333.7142857146</v>
      </c>
      <c r="V37" s="580">
        <v>6530118.4117647056</v>
      </c>
      <c r="W37" s="581">
        <v>8720535.2352941185</v>
      </c>
      <c r="X37" s="580">
        <v>11096790.529411765</v>
      </c>
      <c r="Y37" s="580">
        <v>13665398.388888888</v>
      </c>
      <c r="Z37" s="574">
        <f t="shared" si="5"/>
        <v>13665398.388888888</v>
      </c>
      <c r="AA37" s="580">
        <f t="shared" si="5"/>
        <v>13665398.388888888</v>
      </c>
      <c r="AB37" s="580">
        <f t="shared" si="5"/>
        <v>13665398.388888888</v>
      </c>
      <c r="AC37" s="580">
        <f t="shared" si="5"/>
        <v>12948133.842105264</v>
      </c>
      <c r="AD37" s="580">
        <f t="shared" si="5"/>
        <v>12948133.842105264</v>
      </c>
      <c r="AE37" s="575">
        <f t="shared" si="5"/>
        <v>12948133.842105264</v>
      </c>
      <c r="AF37" s="838"/>
      <c r="AG37" s="828"/>
      <c r="AH37" s="822"/>
      <c r="AI37" s="822"/>
      <c r="AJ37" s="657" t="s">
        <v>503</v>
      </c>
      <c r="AK37" s="806"/>
      <c r="AL37" s="806"/>
      <c r="AM37" s="806"/>
      <c r="AN37" s="806"/>
      <c r="AO37" s="806"/>
      <c r="AP37" s="806"/>
      <c r="AQ37" s="806"/>
      <c r="AR37" s="806"/>
      <c r="AS37" s="806"/>
      <c r="AT37" s="806"/>
      <c r="AU37" s="806"/>
      <c r="AV37" s="806"/>
      <c r="AW37" s="806"/>
      <c r="AX37" s="806"/>
      <c r="AY37" s="584"/>
    </row>
    <row r="38" spans="1:51" ht="72" customHeight="1" x14ac:dyDescent="0.25">
      <c r="A38" s="828"/>
      <c r="B38" s="822"/>
      <c r="C38" s="822"/>
      <c r="D38" s="579" t="s">
        <v>353</v>
      </c>
      <c r="E38" s="582"/>
      <c r="F38" s="582"/>
      <c r="G38" s="582"/>
      <c r="H38" s="582">
        <v>1</v>
      </c>
      <c r="I38" s="580">
        <v>2</v>
      </c>
      <c r="J38" s="581">
        <v>2</v>
      </c>
      <c r="K38" s="580">
        <v>2</v>
      </c>
      <c r="L38" s="580">
        <v>2</v>
      </c>
      <c r="M38" s="581">
        <v>2</v>
      </c>
      <c r="N38" s="582">
        <v>2</v>
      </c>
      <c r="O38" s="582">
        <v>2</v>
      </c>
      <c r="P38" s="580">
        <v>2</v>
      </c>
      <c r="Q38" s="580">
        <v>4</v>
      </c>
      <c r="R38" s="580">
        <v>4</v>
      </c>
      <c r="S38" s="580"/>
      <c r="T38" s="575"/>
      <c r="U38" s="580">
        <v>1</v>
      </c>
      <c r="V38" s="580">
        <v>2</v>
      </c>
      <c r="W38" s="581">
        <v>2</v>
      </c>
      <c r="X38" s="580">
        <v>2</v>
      </c>
      <c r="Y38" s="580">
        <v>2</v>
      </c>
      <c r="Z38" s="581">
        <f t="shared" ref="Z38:AE53" si="10">+M38</f>
        <v>2</v>
      </c>
      <c r="AA38" s="580">
        <f t="shared" si="10"/>
        <v>2</v>
      </c>
      <c r="AB38" s="580">
        <f t="shared" si="10"/>
        <v>2</v>
      </c>
      <c r="AC38" s="580">
        <f t="shared" si="10"/>
        <v>2</v>
      </c>
      <c r="AD38" s="580">
        <f t="shared" si="10"/>
        <v>4</v>
      </c>
      <c r="AE38" s="580">
        <f t="shared" si="10"/>
        <v>4</v>
      </c>
      <c r="AF38" s="838"/>
      <c r="AG38" s="828"/>
      <c r="AH38" s="822"/>
      <c r="AI38" s="822"/>
      <c r="AJ38" s="658" t="s">
        <v>504</v>
      </c>
      <c r="AK38" s="806"/>
      <c r="AL38" s="806"/>
      <c r="AM38" s="806"/>
      <c r="AN38" s="806"/>
      <c r="AO38" s="806"/>
      <c r="AP38" s="806"/>
      <c r="AQ38" s="806"/>
      <c r="AR38" s="806"/>
      <c r="AS38" s="806"/>
      <c r="AT38" s="806"/>
      <c r="AU38" s="806"/>
      <c r="AV38" s="806"/>
      <c r="AW38" s="806"/>
      <c r="AX38" s="806"/>
      <c r="AY38" s="584"/>
    </row>
    <row r="39" spans="1:51" ht="28.9" customHeight="1" x14ac:dyDescent="0.25">
      <c r="A39" s="828"/>
      <c r="B39" s="822"/>
      <c r="C39" s="823"/>
      <c r="D39" s="578" t="s">
        <v>354</v>
      </c>
      <c r="E39" s="582"/>
      <c r="F39" s="582"/>
      <c r="G39" s="582"/>
      <c r="H39" s="582">
        <v>40988106.441558443</v>
      </c>
      <c r="I39" s="580">
        <v>44919868.411764704</v>
      </c>
      <c r="J39" s="580">
        <v>35660710.673890606</v>
      </c>
      <c r="K39" s="580">
        <v>31571323.862745099</v>
      </c>
      <c r="L39" s="580">
        <v>30515484.410394266</v>
      </c>
      <c r="M39" s="580">
        <f t="shared" ref="M39:R39" si="11">+M35+M37</f>
        <v>27783038.028528526</v>
      </c>
      <c r="N39" s="582">
        <f t="shared" si="11"/>
        <v>25813134.822997414</v>
      </c>
      <c r="O39" s="582">
        <f t="shared" si="11"/>
        <v>24712867.776643991</v>
      </c>
      <c r="P39" s="580">
        <f t="shared" si="11"/>
        <v>22790424.751196172</v>
      </c>
      <c r="Q39" s="580">
        <f t="shared" si="11"/>
        <v>31507882.413533837</v>
      </c>
      <c r="R39" s="580">
        <f t="shared" si="11"/>
        <v>31322600.155618779</v>
      </c>
      <c r="S39" s="580"/>
      <c r="T39" s="575"/>
      <c r="U39" s="580">
        <v>40988106.441558443</v>
      </c>
      <c r="V39" s="580">
        <v>44919868.411764704</v>
      </c>
      <c r="W39" s="581">
        <v>35660710.673890606</v>
      </c>
      <c r="X39" s="580">
        <v>31571323.862745099</v>
      </c>
      <c r="Y39" s="580">
        <v>30515484.410394266</v>
      </c>
      <c r="Z39" s="580">
        <f t="shared" si="10"/>
        <v>27783038.028528526</v>
      </c>
      <c r="AA39" s="580">
        <f t="shared" si="10"/>
        <v>25813134.822997414</v>
      </c>
      <c r="AB39" s="580">
        <f t="shared" si="10"/>
        <v>24712867.776643991</v>
      </c>
      <c r="AC39" s="580">
        <f t="shared" si="10"/>
        <v>22790424.751196172</v>
      </c>
      <c r="AD39" s="580">
        <f t="shared" si="10"/>
        <v>31507882.413533837</v>
      </c>
      <c r="AE39" s="580">
        <f t="shared" si="10"/>
        <v>31322600.155618779</v>
      </c>
      <c r="AF39" s="838"/>
      <c r="AG39" s="829"/>
      <c r="AH39" s="823"/>
      <c r="AI39" s="823"/>
      <c r="AJ39" s="659" t="s">
        <v>505</v>
      </c>
      <c r="AK39" s="807"/>
      <c r="AL39" s="807"/>
      <c r="AM39" s="807"/>
      <c r="AN39" s="807"/>
      <c r="AO39" s="807"/>
      <c r="AP39" s="807"/>
      <c r="AQ39" s="807"/>
      <c r="AR39" s="807"/>
      <c r="AS39" s="807"/>
      <c r="AT39" s="807"/>
      <c r="AU39" s="807"/>
      <c r="AV39" s="807"/>
      <c r="AW39" s="807"/>
      <c r="AX39" s="807"/>
      <c r="AY39" s="584"/>
    </row>
    <row r="40" spans="1:51" ht="22.9" customHeight="1" x14ac:dyDescent="0.25">
      <c r="A40" s="828"/>
      <c r="B40" s="822"/>
      <c r="C40" s="821" t="s">
        <v>522</v>
      </c>
      <c r="D40" s="572" t="s">
        <v>345</v>
      </c>
      <c r="E40" s="582"/>
      <c r="F40" s="582"/>
      <c r="G40" s="582"/>
      <c r="H40" s="582">
        <v>2</v>
      </c>
      <c r="I40" s="580">
        <v>3</v>
      </c>
      <c r="J40" s="581">
        <v>4</v>
      </c>
      <c r="K40" s="580">
        <v>6</v>
      </c>
      <c r="L40" s="580">
        <v>7</v>
      </c>
      <c r="M40" s="581">
        <v>8</v>
      </c>
      <c r="N40" s="582">
        <v>12</v>
      </c>
      <c r="O40" s="582">
        <v>13</v>
      </c>
      <c r="P40" s="580">
        <v>14</v>
      </c>
      <c r="Q40" s="580">
        <v>14</v>
      </c>
      <c r="R40" s="580">
        <v>14</v>
      </c>
      <c r="S40" s="580"/>
      <c r="T40" s="575"/>
      <c r="U40" s="580">
        <v>2</v>
      </c>
      <c r="V40" s="580">
        <v>3</v>
      </c>
      <c r="W40" s="581">
        <v>4</v>
      </c>
      <c r="X40" s="580">
        <v>6</v>
      </c>
      <c r="Y40" s="580">
        <v>7</v>
      </c>
      <c r="Z40" s="581">
        <f t="shared" si="10"/>
        <v>8</v>
      </c>
      <c r="AA40" s="580">
        <f t="shared" si="10"/>
        <v>12</v>
      </c>
      <c r="AB40" s="580">
        <f t="shared" si="10"/>
        <v>13</v>
      </c>
      <c r="AC40" s="580">
        <f t="shared" si="10"/>
        <v>14</v>
      </c>
      <c r="AD40" s="580">
        <f t="shared" si="10"/>
        <v>14</v>
      </c>
      <c r="AE40" s="580">
        <f t="shared" si="10"/>
        <v>14</v>
      </c>
      <c r="AF40" s="899" t="s">
        <v>523</v>
      </c>
      <c r="AG40" s="827" t="s">
        <v>524</v>
      </c>
      <c r="AH40" s="824" t="s">
        <v>525</v>
      </c>
      <c r="AI40" s="824" t="s">
        <v>526</v>
      </c>
      <c r="AJ40" s="656" t="s">
        <v>499</v>
      </c>
      <c r="AK40" s="826" t="s">
        <v>490</v>
      </c>
      <c r="AL40" s="893" t="s">
        <v>527</v>
      </c>
      <c r="AM40" s="826" t="s">
        <v>491</v>
      </c>
      <c r="AN40" s="861">
        <v>406498</v>
      </c>
      <c r="AO40" s="861">
        <v>195731</v>
      </c>
      <c r="AP40" s="861">
        <v>210767</v>
      </c>
      <c r="AQ40" s="840" t="s">
        <v>492</v>
      </c>
      <c r="AR40" s="840" t="s">
        <v>492</v>
      </c>
      <c r="AS40" s="840" t="s">
        <v>492</v>
      </c>
      <c r="AT40" s="840" t="s">
        <v>492</v>
      </c>
      <c r="AU40" s="833" t="s">
        <v>492</v>
      </c>
      <c r="AV40" s="833" t="s">
        <v>492</v>
      </c>
      <c r="AW40" s="833" t="s">
        <v>492</v>
      </c>
      <c r="AX40" s="861">
        <v>406428</v>
      </c>
      <c r="AY40" s="584"/>
    </row>
    <row r="41" spans="1:51" ht="20.45" customHeight="1" x14ac:dyDescent="0.25">
      <c r="A41" s="828"/>
      <c r="B41" s="822"/>
      <c r="C41" s="822"/>
      <c r="D41" s="578" t="s">
        <v>349</v>
      </c>
      <c r="E41" s="582"/>
      <c r="F41" s="582"/>
      <c r="G41" s="582"/>
      <c r="H41" s="582">
        <v>69799545.454545453</v>
      </c>
      <c r="I41" s="580">
        <v>57584625</v>
      </c>
      <c r="J41" s="580">
        <v>53880350.877192982</v>
      </c>
      <c r="K41" s="580">
        <v>61423600</v>
      </c>
      <c r="L41" s="580">
        <v>58975301.07526882</v>
      </c>
      <c r="M41" s="580">
        <f>+M40*$Z$11/$Z$10</f>
        <v>56470558.558558561</v>
      </c>
      <c r="N41" s="582">
        <f>+N40*$AA$11/$AA$10</f>
        <v>72886418.604651168</v>
      </c>
      <c r="O41" s="582">
        <f>+O40*$AB$11/$AB$10</f>
        <v>71808551.020408168</v>
      </c>
      <c r="P41" s="580">
        <f>+P40*$AC$11/$AC$10</f>
        <v>68896036.36363636</v>
      </c>
      <c r="Q41" s="580">
        <f>+Q40*$AD$11/$AD$10</f>
        <v>64959120</v>
      </c>
      <c r="R41" s="580">
        <f>+R40*$AE$11/$AE$10</f>
        <v>64310632.097297296</v>
      </c>
      <c r="S41" s="580"/>
      <c r="T41" s="575"/>
      <c r="U41" s="580">
        <v>69799545.454545453</v>
      </c>
      <c r="V41" s="580">
        <v>57584625</v>
      </c>
      <c r="W41" s="581">
        <v>53880350.877192982</v>
      </c>
      <c r="X41" s="580">
        <v>61423600</v>
      </c>
      <c r="Y41" s="580">
        <v>58975301.07526882</v>
      </c>
      <c r="Z41" s="580">
        <f t="shared" si="10"/>
        <v>56470558.558558561</v>
      </c>
      <c r="AA41" s="580">
        <f t="shared" si="10"/>
        <v>72886418.604651168</v>
      </c>
      <c r="AB41" s="580">
        <f t="shared" si="10"/>
        <v>71808551.020408168</v>
      </c>
      <c r="AC41" s="580">
        <f t="shared" si="10"/>
        <v>68896036.36363636</v>
      </c>
      <c r="AD41" s="580">
        <f t="shared" si="10"/>
        <v>64959120</v>
      </c>
      <c r="AE41" s="580">
        <f t="shared" si="10"/>
        <v>64310632.097297296</v>
      </c>
      <c r="AF41" s="838"/>
      <c r="AG41" s="828"/>
      <c r="AH41" s="822"/>
      <c r="AI41" s="822"/>
      <c r="AJ41" s="661" t="s">
        <v>528</v>
      </c>
      <c r="AK41" s="806"/>
      <c r="AL41" s="806"/>
      <c r="AM41" s="806"/>
      <c r="AN41" s="806"/>
      <c r="AO41" s="806"/>
      <c r="AP41" s="806"/>
      <c r="AQ41" s="806"/>
      <c r="AR41" s="806"/>
      <c r="AS41" s="806"/>
      <c r="AT41" s="806"/>
      <c r="AU41" s="806"/>
      <c r="AV41" s="806"/>
      <c r="AW41" s="806"/>
      <c r="AX41" s="806"/>
      <c r="AY41" s="584"/>
    </row>
    <row r="42" spans="1:51" ht="28.9" customHeight="1" x14ac:dyDescent="0.25">
      <c r="A42" s="828"/>
      <c r="B42" s="822"/>
      <c r="C42" s="822"/>
      <c r="D42" s="579" t="s">
        <v>351</v>
      </c>
      <c r="E42" s="582"/>
      <c r="F42" s="582"/>
      <c r="G42" s="582"/>
      <c r="H42" s="582"/>
      <c r="I42" s="580"/>
      <c r="J42" s="581"/>
      <c r="K42" s="580"/>
      <c r="L42" s="580"/>
      <c r="M42" s="581"/>
      <c r="N42" s="582"/>
      <c r="O42" s="582"/>
      <c r="P42" s="580"/>
      <c r="Q42" s="580"/>
      <c r="R42" s="580"/>
      <c r="S42" s="580"/>
      <c r="T42" s="575"/>
      <c r="U42" s="580">
        <v>0</v>
      </c>
      <c r="V42" s="580">
        <v>0</v>
      </c>
      <c r="W42" s="581">
        <v>0</v>
      </c>
      <c r="X42" s="580">
        <v>0</v>
      </c>
      <c r="Y42" s="580">
        <v>0</v>
      </c>
      <c r="Z42" s="581">
        <f t="shared" si="10"/>
        <v>0</v>
      </c>
      <c r="AA42" s="580">
        <f t="shared" si="10"/>
        <v>0</v>
      </c>
      <c r="AB42" s="580">
        <f t="shared" si="10"/>
        <v>0</v>
      </c>
      <c r="AC42" s="580">
        <f t="shared" si="10"/>
        <v>0</v>
      </c>
      <c r="AD42" s="580">
        <f t="shared" si="10"/>
        <v>0</v>
      </c>
      <c r="AE42" s="580">
        <f t="shared" si="10"/>
        <v>0</v>
      </c>
      <c r="AF42" s="838"/>
      <c r="AG42" s="828"/>
      <c r="AH42" s="822"/>
      <c r="AI42" s="822"/>
      <c r="AJ42" s="657" t="s">
        <v>502</v>
      </c>
      <c r="AK42" s="806"/>
      <c r="AL42" s="806"/>
      <c r="AM42" s="806"/>
      <c r="AN42" s="806"/>
      <c r="AO42" s="806"/>
      <c r="AP42" s="806"/>
      <c r="AQ42" s="806"/>
      <c r="AR42" s="806"/>
      <c r="AS42" s="806"/>
      <c r="AT42" s="806"/>
      <c r="AU42" s="806"/>
      <c r="AV42" s="806"/>
      <c r="AW42" s="806"/>
      <c r="AX42" s="806"/>
      <c r="AY42" s="584"/>
    </row>
    <row r="43" spans="1:51" ht="30.6" customHeight="1" x14ac:dyDescent="0.25">
      <c r="A43" s="828"/>
      <c r="B43" s="822"/>
      <c r="C43" s="822"/>
      <c r="D43" s="578" t="s">
        <v>352</v>
      </c>
      <c r="E43" s="582"/>
      <c r="F43" s="582"/>
      <c r="G43" s="582"/>
      <c r="H43" s="583">
        <v>6088333.7142857146</v>
      </c>
      <c r="I43" s="575">
        <v>6530118.4117647056</v>
      </c>
      <c r="J43" s="575">
        <v>8720535.2352941185</v>
      </c>
      <c r="K43" s="575">
        <v>11096790.529411765</v>
      </c>
      <c r="L43" s="575">
        <v>13665398.388888888</v>
      </c>
      <c r="M43" s="575">
        <v>13665398.388888888</v>
      </c>
      <c r="N43" s="583">
        <v>13665398.388888888</v>
      </c>
      <c r="O43" s="583">
        <v>13665398.388888888</v>
      </c>
      <c r="P43" s="575">
        <v>12948133.842105264</v>
      </c>
      <c r="Q43" s="575">
        <v>12948133.842105264</v>
      </c>
      <c r="R43" s="575">
        <v>12948133.842105264</v>
      </c>
      <c r="S43" s="575"/>
      <c r="T43" s="575"/>
      <c r="U43" s="580">
        <v>6088333.7142857146</v>
      </c>
      <c r="V43" s="580">
        <v>6530118.4117647056</v>
      </c>
      <c r="W43" s="581">
        <v>8720535.2352941185</v>
      </c>
      <c r="X43" s="580">
        <v>11096790.529411765</v>
      </c>
      <c r="Y43" s="580">
        <v>13665398.388888888</v>
      </c>
      <c r="Z43" s="574">
        <f t="shared" si="10"/>
        <v>13665398.388888888</v>
      </c>
      <c r="AA43" s="580">
        <f t="shared" si="10"/>
        <v>13665398.388888888</v>
      </c>
      <c r="AB43" s="580">
        <f t="shared" si="10"/>
        <v>13665398.388888888</v>
      </c>
      <c r="AC43" s="580">
        <f t="shared" si="10"/>
        <v>12948133.842105264</v>
      </c>
      <c r="AD43" s="580">
        <f t="shared" si="10"/>
        <v>12948133.842105264</v>
      </c>
      <c r="AE43" s="575">
        <f t="shared" si="10"/>
        <v>12948133.842105264</v>
      </c>
      <c r="AF43" s="838"/>
      <c r="AG43" s="828"/>
      <c r="AH43" s="822"/>
      <c r="AI43" s="822"/>
      <c r="AJ43" s="661" t="s">
        <v>503</v>
      </c>
      <c r="AK43" s="806"/>
      <c r="AL43" s="806"/>
      <c r="AM43" s="806"/>
      <c r="AN43" s="806"/>
      <c r="AO43" s="806"/>
      <c r="AP43" s="806"/>
      <c r="AQ43" s="806"/>
      <c r="AR43" s="806"/>
      <c r="AS43" s="806"/>
      <c r="AT43" s="806"/>
      <c r="AU43" s="806"/>
      <c r="AV43" s="806"/>
      <c r="AW43" s="806"/>
      <c r="AX43" s="806"/>
      <c r="AY43" s="584"/>
    </row>
    <row r="44" spans="1:51" ht="72" customHeight="1" x14ac:dyDescent="0.25">
      <c r="A44" s="828"/>
      <c r="B44" s="822"/>
      <c r="C44" s="822"/>
      <c r="D44" s="579" t="s">
        <v>353</v>
      </c>
      <c r="E44" s="582"/>
      <c r="F44" s="582"/>
      <c r="G44" s="582"/>
      <c r="H44" s="582">
        <v>2</v>
      </c>
      <c r="I44" s="580">
        <v>3</v>
      </c>
      <c r="J44" s="581">
        <v>4</v>
      </c>
      <c r="K44" s="580">
        <v>6</v>
      </c>
      <c r="L44" s="580">
        <v>7</v>
      </c>
      <c r="M44" s="581">
        <v>8</v>
      </c>
      <c r="N44" s="582">
        <v>12</v>
      </c>
      <c r="O44" s="582">
        <v>13</v>
      </c>
      <c r="P44" s="580">
        <v>14</v>
      </c>
      <c r="Q44" s="580">
        <v>14</v>
      </c>
      <c r="R44" s="580">
        <v>14</v>
      </c>
      <c r="S44" s="580"/>
      <c r="T44" s="575"/>
      <c r="U44" s="580">
        <v>2</v>
      </c>
      <c r="V44" s="580">
        <v>3</v>
      </c>
      <c r="W44" s="581">
        <v>4</v>
      </c>
      <c r="X44" s="580">
        <v>6</v>
      </c>
      <c r="Y44" s="580">
        <v>7</v>
      </c>
      <c r="Z44" s="581">
        <f t="shared" si="10"/>
        <v>8</v>
      </c>
      <c r="AA44" s="580">
        <f t="shared" si="10"/>
        <v>12</v>
      </c>
      <c r="AB44" s="580">
        <f t="shared" si="10"/>
        <v>13</v>
      </c>
      <c r="AC44" s="580">
        <f t="shared" si="10"/>
        <v>14</v>
      </c>
      <c r="AD44" s="580">
        <f t="shared" si="10"/>
        <v>14</v>
      </c>
      <c r="AE44" s="580">
        <f t="shared" si="10"/>
        <v>14</v>
      </c>
      <c r="AF44" s="838"/>
      <c r="AG44" s="828"/>
      <c r="AH44" s="822"/>
      <c r="AI44" s="822"/>
      <c r="AJ44" s="658" t="s">
        <v>504</v>
      </c>
      <c r="AK44" s="806"/>
      <c r="AL44" s="806"/>
      <c r="AM44" s="806"/>
      <c r="AN44" s="806"/>
      <c r="AO44" s="806"/>
      <c r="AP44" s="806"/>
      <c r="AQ44" s="806"/>
      <c r="AR44" s="806"/>
      <c r="AS44" s="806"/>
      <c r="AT44" s="806"/>
      <c r="AU44" s="806"/>
      <c r="AV44" s="806"/>
      <c r="AW44" s="806"/>
      <c r="AX44" s="806"/>
      <c r="AY44" s="584"/>
    </row>
    <row r="45" spans="1:51" ht="28.9" customHeight="1" x14ac:dyDescent="0.25">
      <c r="A45" s="828"/>
      <c r="B45" s="822"/>
      <c r="C45" s="823"/>
      <c r="D45" s="578" t="s">
        <v>354</v>
      </c>
      <c r="E45" s="582"/>
      <c r="F45" s="582"/>
      <c r="G45" s="582"/>
      <c r="H45" s="582">
        <v>75887879.16883117</v>
      </c>
      <c r="I45" s="580">
        <v>64114743.411764704</v>
      </c>
      <c r="J45" s="580">
        <v>62600886.1124871</v>
      </c>
      <c r="K45" s="580">
        <v>72520390.529411763</v>
      </c>
      <c r="L45" s="580">
        <v>72640699.464157701</v>
      </c>
      <c r="M45" s="580">
        <f t="shared" ref="M45:R45" si="12">+M41+M43</f>
        <v>70135956.947447449</v>
      </c>
      <c r="N45" s="582">
        <f t="shared" si="12"/>
        <v>86551816.993540049</v>
      </c>
      <c r="O45" s="582">
        <f t="shared" si="12"/>
        <v>85473949.409297049</v>
      </c>
      <c r="P45" s="580">
        <f t="shared" si="12"/>
        <v>81844170.205741629</v>
      </c>
      <c r="Q45" s="580">
        <f t="shared" si="12"/>
        <v>77907253.842105269</v>
      </c>
      <c r="R45" s="580">
        <f t="shared" si="12"/>
        <v>77258765.939402565</v>
      </c>
      <c r="S45" s="580"/>
      <c r="T45" s="575"/>
      <c r="U45" s="580">
        <v>75887879.16883117</v>
      </c>
      <c r="V45" s="580">
        <v>64114743.411764704</v>
      </c>
      <c r="W45" s="581">
        <v>62600886.1124871</v>
      </c>
      <c r="X45" s="580">
        <v>72520390.529411763</v>
      </c>
      <c r="Y45" s="580">
        <v>72640699.464157701</v>
      </c>
      <c r="Z45" s="580">
        <f t="shared" si="10"/>
        <v>70135956.947447449</v>
      </c>
      <c r="AA45" s="580">
        <f t="shared" si="10"/>
        <v>86551816.993540049</v>
      </c>
      <c r="AB45" s="580">
        <f t="shared" si="10"/>
        <v>85473949.409297049</v>
      </c>
      <c r="AC45" s="580">
        <f t="shared" si="10"/>
        <v>81844170.205741629</v>
      </c>
      <c r="AD45" s="580">
        <f t="shared" si="10"/>
        <v>77907253.842105269</v>
      </c>
      <c r="AE45" s="580">
        <f t="shared" si="10"/>
        <v>77258765.939402565</v>
      </c>
      <c r="AF45" s="838"/>
      <c r="AG45" s="829"/>
      <c r="AH45" s="823"/>
      <c r="AI45" s="823"/>
      <c r="AJ45" s="659" t="s">
        <v>505</v>
      </c>
      <c r="AK45" s="807"/>
      <c r="AL45" s="807"/>
      <c r="AM45" s="807"/>
      <c r="AN45" s="807"/>
      <c r="AO45" s="807"/>
      <c r="AP45" s="807"/>
      <c r="AQ45" s="807"/>
      <c r="AR45" s="807"/>
      <c r="AS45" s="807"/>
      <c r="AT45" s="807"/>
      <c r="AU45" s="807"/>
      <c r="AV45" s="807"/>
      <c r="AW45" s="807"/>
      <c r="AX45" s="807"/>
      <c r="AY45" s="584"/>
    </row>
    <row r="46" spans="1:51" ht="22.9" customHeight="1" x14ac:dyDescent="0.25">
      <c r="A46" s="828"/>
      <c r="B46" s="822"/>
      <c r="C46" s="821" t="s">
        <v>529</v>
      </c>
      <c r="D46" s="572" t="s">
        <v>345</v>
      </c>
      <c r="E46" s="582"/>
      <c r="F46" s="582"/>
      <c r="G46" s="582"/>
      <c r="H46" s="582"/>
      <c r="I46" s="580">
        <v>1</v>
      </c>
      <c r="J46" s="581">
        <v>5</v>
      </c>
      <c r="K46" s="580">
        <v>6</v>
      </c>
      <c r="L46" s="580">
        <v>6</v>
      </c>
      <c r="M46" s="581">
        <v>6</v>
      </c>
      <c r="N46" s="582">
        <v>7</v>
      </c>
      <c r="O46" s="582">
        <v>8</v>
      </c>
      <c r="P46" s="580">
        <v>8</v>
      </c>
      <c r="Q46" s="580">
        <v>8</v>
      </c>
      <c r="R46" s="580">
        <v>9</v>
      </c>
      <c r="S46" s="580"/>
      <c r="T46" s="575"/>
      <c r="U46" s="580">
        <v>0</v>
      </c>
      <c r="V46" s="580">
        <v>1</v>
      </c>
      <c r="W46" s="581">
        <v>5</v>
      </c>
      <c r="X46" s="580">
        <v>6</v>
      </c>
      <c r="Y46" s="580">
        <v>6</v>
      </c>
      <c r="Z46" s="581">
        <f t="shared" si="10"/>
        <v>6</v>
      </c>
      <c r="AA46" s="580">
        <f t="shared" si="10"/>
        <v>7</v>
      </c>
      <c r="AB46" s="580">
        <f t="shared" si="10"/>
        <v>8</v>
      </c>
      <c r="AC46" s="580">
        <f t="shared" si="10"/>
        <v>8</v>
      </c>
      <c r="AD46" s="580">
        <f t="shared" si="10"/>
        <v>8</v>
      </c>
      <c r="AE46" s="580">
        <f t="shared" si="10"/>
        <v>9</v>
      </c>
      <c r="AF46" s="899" t="s">
        <v>530</v>
      </c>
      <c r="AG46" s="890" t="s">
        <v>531</v>
      </c>
      <c r="AH46" s="824" t="s">
        <v>532</v>
      </c>
      <c r="AI46" s="824" t="s">
        <v>533</v>
      </c>
      <c r="AJ46" s="656" t="s">
        <v>499</v>
      </c>
      <c r="AK46" s="826" t="s">
        <v>490</v>
      </c>
      <c r="AL46" s="826" t="s">
        <v>534</v>
      </c>
      <c r="AM46" s="826" t="s">
        <v>491</v>
      </c>
      <c r="AN46" s="820">
        <v>407645</v>
      </c>
      <c r="AO46" s="820">
        <v>201919</v>
      </c>
      <c r="AP46" s="820">
        <v>205726</v>
      </c>
      <c r="AQ46" s="840" t="s">
        <v>492</v>
      </c>
      <c r="AR46" s="840" t="s">
        <v>492</v>
      </c>
      <c r="AS46" s="840" t="s">
        <v>492</v>
      </c>
      <c r="AT46" s="840" t="s">
        <v>492</v>
      </c>
      <c r="AU46" s="833" t="s">
        <v>492</v>
      </c>
      <c r="AV46" s="833" t="s">
        <v>492</v>
      </c>
      <c r="AW46" s="833" t="s">
        <v>492</v>
      </c>
      <c r="AX46" s="820">
        <v>397603</v>
      </c>
      <c r="AY46" s="584"/>
    </row>
    <row r="47" spans="1:51" ht="20.45" customHeight="1" x14ac:dyDescent="0.25">
      <c r="A47" s="828"/>
      <c r="B47" s="822"/>
      <c r="C47" s="822"/>
      <c r="D47" s="578" t="s">
        <v>349</v>
      </c>
      <c r="E47" s="582"/>
      <c r="F47" s="582"/>
      <c r="G47" s="582"/>
      <c r="H47" s="582"/>
      <c r="I47" s="580">
        <v>19194875</v>
      </c>
      <c r="J47" s="580">
        <v>67350438.596491233</v>
      </c>
      <c r="K47" s="580">
        <v>61423600</v>
      </c>
      <c r="L47" s="580">
        <v>50550258.064516127</v>
      </c>
      <c r="M47" s="580">
        <f>+M46*$Z$11/$Z$10</f>
        <v>42352918.918918923</v>
      </c>
      <c r="N47" s="582">
        <f>+N46*$AA$11/$AA$10</f>
        <v>42517077.519379847</v>
      </c>
      <c r="O47" s="582">
        <f>+O46*$AB$11/$AB$10</f>
        <v>44189877.551020406</v>
      </c>
      <c r="P47" s="580">
        <f>+P46*$AC$11/$AC$10</f>
        <v>39369163.636363633</v>
      </c>
      <c r="Q47" s="580">
        <f>+Q46*$AD$11/$AD$10</f>
        <v>37119497.142857142</v>
      </c>
      <c r="R47" s="580">
        <f>+R46*$AE$11/$AE$10</f>
        <v>41342549.205405407</v>
      </c>
      <c r="S47" s="580"/>
      <c r="T47" s="575"/>
      <c r="U47" s="580">
        <v>0</v>
      </c>
      <c r="V47" s="580">
        <v>19194875</v>
      </c>
      <c r="W47" s="581">
        <v>67350438.596491233</v>
      </c>
      <c r="X47" s="580">
        <v>61423600</v>
      </c>
      <c r="Y47" s="580">
        <v>50550258.064516127</v>
      </c>
      <c r="Z47" s="580">
        <f t="shared" si="10"/>
        <v>42352918.918918923</v>
      </c>
      <c r="AA47" s="580">
        <f t="shared" si="10"/>
        <v>42517077.519379847</v>
      </c>
      <c r="AB47" s="580">
        <f t="shared" si="10"/>
        <v>44189877.551020406</v>
      </c>
      <c r="AC47" s="580">
        <f t="shared" si="10"/>
        <v>39369163.636363633</v>
      </c>
      <c r="AD47" s="580">
        <f t="shared" si="10"/>
        <v>37119497.142857142</v>
      </c>
      <c r="AE47" s="580">
        <f t="shared" si="10"/>
        <v>41342549.205405407</v>
      </c>
      <c r="AF47" s="838"/>
      <c r="AG47" s="828"/>
      <c r="AH47" s="822"/>
      <c r="AI47" s="822"/>
      <c r="AJ47" s="661" t="s">
        <v>528</v>
      </c>
      <c r="AK47" s="806"/>
      <c r="AL47" s="806"/>
      <c r="AM47" s="806"/>
      <c r="AN47" s="806"/>
      <c r="AO47" s="806"/>
      <c r="AP47" s="806"/>
      <c r="AQ47" s="806"/>
      <c r="AR47" s="806"/>
      <c r="AS47" s="806"/>
      <c r="AT47" s="806"/>
      <c r="AU47" s="806"/>
      <c r="AV47" s="806"/>
      <c r="AW47" s="806"/>
      <c r="AX47" s="806"/>
      <c r="AY47" s="584"/>
    </row>
    <row r="48" spans="1:51" ht="28.9" customHeight="1" x14ac:dyDescent="0.25">
      <c r="A48" s="828"/>
      <c r="B48" s="822"/>
      <c r="C48" s="822"/>
      <c r="D48" s="579" t="s">
        <v>351</v>
      </c>
      <c r="E48" s="582"/>
      <c r="F48" s="582"/>
      <c r="G48" s="582"/>
      <c r="H48" s="582"/>
      <c r="I48" s="580"/>
      <c r="J48" s="581"/>
      <c r="K48" s="580"/>
      <c r="L48" s="580"/>
      <c r="M48" s="581"/>
      <c r="N48" s="582"/>
      <c r="O48" s="582"/>
      <c r="P48" s="580"/>
      <c r="Q48" s="580"/>
      <c r="R48" s="580"/>
      <c r="S48" s="580"/>
      <c r="T48" s="575"/>
      <c r="U48" s="580">
        <v>0</v>
      </c>
      <c r="V48" s="580">
        <v>0</v>
      </c>
      <c r="W48" s="581">
        <v>0</v>
      </c>
      <c r="X48" s="580">
        <v>0</v>
      </c>
      <c r="Y48" s="580">
        <v>0</v>
      </c>
      <c r="Z48" s="581">
        <f t="shared" si="10"/>
        <v>0</v>
      </c>
      <c r="AA48" s="580">
        <f t="shared" si="10"/>
        <v>0</v>
      </c>
      <c r="AB48" s="580">
        <f t="shared" si="10"/>
        <v>0</v>
      </c>
      <c r="AC48" s="580">
        <f t="shared" si="10"/>
        <v>0</v>
      </c>
      <c r="AD48" s="580">
        <f t="shared" si="10"/>
        <v>0</v>
      </c>
      <c r="AE48" s="580">
        <f t="shared" si="10"/>
        <v>0</v>
      </c>
      <c r="AF48" s="838"/>
      <c r="AG48" s="828"/>
      <c r="AH48" s="822"/>
      <c r="AI48" s="822"/>
      <c r="AJ48" s="657" t="s">
        <v>502</v>
      </c>
      <c r="AK48" s="806"/>
      <c r="AL48" s="806"/>
      <c r="AM48" s="806"/>
      <c r="AN48" s="806"/>
      <c r="AO48" s="806"/>
      <c r="AP48" s="806"/>
      <c r="AQ48" s="806"/>
      <c r="AR48" s="806"/>
      <c r="AS48" s="806"/>
      <c r="AT48" s="806"/>
      <c r="AU48" s="806"/>
      <c r="AV48" s="806"/>
      <c r="AW48" s="806"/>
      <c r="AX48" s="806"/>
      <c r="AY48" s="584"/>
    </row>
    <row r="49" spans="1:51" ht="30.6" customHeight="1" x14ac:dyDescent="0.25">
      <c r="A49" s="828"/>
      <c r="B49" s="822"/>
      <c r="C49" s="822"/>
      <c r="D49" s="578" t="s">
        <v>352</v>
      </c>
      <c r="E49" s="582"/>
      <c r="F49" s="582"/>
      <c r="G49" s="582"/>
      <c r="H49" s="582"/>
      <c r="I49" s="575">
        <v>6530118.4117647056</v>
      </c>
      <c r="J49" s="575">
        <v>8720535.2352941185</v>
      </c>
      <c r="K49" s="575">
        <v>11096790.529411765</v>
      </c>
      <c r="L49" s="575">
        <v>13665398.388888888</v>
      </c>
      <c r="M49" s="575">
        <v>13665398.388888888</v>
      </c>
      <c r="N49" s="583">
        <v>13665398.388888888</v>
      </c>
      <c r="O49" s="583">
        <v>13665398.388888888</v>
      </c>
      <c r="P49" s="575">
        <v>12948133.842105264</v>
      </c>
      <c r="Q49" s="575">
        <v>12948133.842105264</v>
      </c>
      <c r="R49" s="575">
        <v>12948133.842105264</v>
      </c>
      <c r="S49" s="575"/>
      <c r="T49" s="575"/>
      <c r="U49" s="580">
        <v>0</v>
      </c>
      <c r="V49" s="580">
        <v>6530118.4117647056</v>
      </c>
      <c r="W49" s="581">
        <v>8720535.2352941185</v>
      </c>
      <c r="X49" s="580">
        <v>11096790.529411765</v>
      </c>
      <c r="Y49" s="580">
        <v>13665398.388888888</v>
      </c>
      <c r="Z49" s="574">
        <f t="shared" si="10"/>
        <v>13665398.388888888</v>
      </c>
      <c r="AA49" s="580">
        <f t="shared" si="10"/>
        <v>13665398.388888888</v>
      </c>
      <c r="AB49" s="580">
        <f t="shared" si="10"/>
        <v>13665398.388888888</v>
      </c>
      <c r="AC49" s="580">
        <f t="shared" si="10"/>
        <v>12948133.842105264</v>
      </c>
      <c r="AD49" s="580">
        <f t="shared" si="10"/>
        <v>12948133.842105264</v>
      </c>
      <c r="AE49" s="575">
        <f t="shared" si="10"/>
        <v>12948133.842105264</v>
      </c>
      <c r="AF49" s="838"/>
      <c r="AG49" s="828"/>
      <c r="AH49" s="822"/>
      <c r="AI49" s="822"/>
      <c r="AJ49" s="661" t="s">
        <v>503</v>
      </c>
      <c r="AK49" s="806"/>
      <c r="AL49" s="806"/>
      <c r="AM49" s="806"/>
      <c r="AN49" s="806"/>
      <c r="AO49" s="806"/>
      <c r="AP49" s="806"/>
      <c r="AQ49" s="806"/>
      <c r="AR49" s="806"/>
      <c r="AS49" s="806"/>
      <c r="AT49" s="806"/>
      <c r="AU49" s="806"/>
      <c r="AV49" s="806"/>
      <c r="AW49" s="806"/>
      <c r="AX49" s="806"/>
      <c r="AY49" s="584"/>
    </row>
    <row r="50" spans="1:51" ht="72" customHeight="1" x14ac:dyDescent="0.25">
      <c r="A50" s="828"/>
      <c r="B50" s="822"/>
      <c r="C50" s="822"/>
      <c r="D50" s="579" t="s">
        <v>353</v>
      </c>
      <c r="E50" s="582"/>
      <c r="F50" s="582"/>
      <c r="G50" s="582"/>
      <c r="H50" s="582"/>
      <c r="I50" s="580">
        <v>1</v>
      </c>
      <c r="J50" s="581">
        <v>5</v>
      </c>
      <c r="K50" s="580">
        <v>6</v>
      </c>
      <c r="L50" s="580">
        <v>6</v>
      </c>
      <c r="M50" s="580">
        <v>6</v>
      </c>
      <c r="N50" s="582">
        <v>7</v>
      </c>
      <c r="O50" s="582">
        <v>8</v>
      </c>
      <c r="P50" s="580">
        <v>8</v>
      </c>
      <c r="Q50" s="580">
        <v>8</v>
      </c>
      <c r="R50" s="580">
        <v>9</v>
      </c>
      <c r="S50" s="580"/>
      <c r="T50" s="575"/>
      <c r="U50" s="580">
        <v>0</v>
      </c>
      <c r="V50" s="580">
        <v>1</v>
      </c>
      <c r="W50" s="581">
        <v>5</v>
      </c>
      <c r="X50" s="580">
        <v>6</v>
      </c>
      <c r="Y50" s="580">
        <v>6</v>
      </c>
      <c r="Z50" s="580">
        <f t="shared" si="10"/>
        <v>6</v>
      </c>
      <c r="AA50" s="580">
        <f t="shared" si="10"/>
        <v>7</v>
      </c>
      <c r="AB50" s="580">
        <f t="shared" si="10"/>
        <v>8</v>
      </c>
      <c r="AC50" s="580">
        <f t="shared" si="10"/>
        <v>8</v>
      </c>
      <c r="AD50" s="580">
        <f t="shared" si="10"/>
        <v>8</v>
      </c>
      <c r="AE50" s="580">
        <f t="shared" si="10"/>
        <v>9</v>
      </c>
      <c r="AF50" s="838"/>
      <c r="AG50" s="828"/>
      <c r="AH50" s="822"/>
      <c r="AI50" s="822"/>
      <c r="AJ50" s="658" t="s">
        <v>504</v>
      </c>
      <c r="AK50" s="806"/>
      <c r="AL50" s="806"/>
      <c r="AM50" s="806"/>
      <c r="AN50" s="806"/>
      <c r="AO50" s="806"/>
      <c r="AP50" s="806"/>
      <c r="AQ50" s="806"/>
      <c r="AR50" s="806"/>
      <c r="AS50" s="806"/>
      <c r="AT50" s="806"/>
      <c r="AU50" s="806"/>
      <c r="AV50" s="806"/>
      <c r="AW50" s="806"/>
      <c r="AX50" s="806"/>
      <c r="AY50" s="584"/>
    </row>
    <row r="51" spans="1:51" ht="28.9" customHeight="1" x14ac:dyDescent="0.25">
      <c r="A51" s="828"/>
      <c r="B51" s="822"/>
      <c r="C51" s="823"/>
      <c r="D51" s="578" t="s">
        <v>354</v>
      </c>
      <c r="E51" s="582"/>
      <c r="F51" s="582"/>
      <c r="G51" s="582"/>
      <c r="H51" s="582"/>
      <c r="I51" s="580">
        <v>25724993.411764704</v>
      </c>
      <c r="J51" s="580">
        <v>76070973.831785351</v>
      </c>
      <c r="K51" s="580">
        <v>72520390.529411763</v>
      </c>
      <c r="L51" s="580">
        <v>64215656.453405015</v>
      </c>
      <c r="M51" s="580">
        <f t="shared" ref="M51:R51" si="13">+M47+M49</f>
        <v>56018317.307807811</v>
      </c>
      <c r="N51" s="582">
        <f t="shared" si="13"/>
        <v>56182475.908268735</v>
      </c>
      <c r="O51" s="582">
        <f t="shared" si="13"/>
        <v>57855275.939909294</v>
      </c>
      <c r="P51" s="580">
        <f t="shared" si="13"/>
        <v>52317297.478468895</v>
      </c>
      <c r="Q51" s="580">
        <f t="shared" si="13"/>
        <v>50067630.984962404</v>
      </c>
      <c r="R51" s="580">
        <f t="shared" si="13"/>
        <v>54290683.047510669</v>
      </c>
      <c r="S51" s="580"/>
      <c r="T51" s="575"/>
      <c r="U51" s="580">
        <v>0</v>
      </c>
      <c r="V51" s="580">
        <v>25724993.411764704</v>
      </c>
      <c r="W51" s="581">
        <v>76070973.831785351</v>
      </c>
      <c r="X51" s="580">
        <v>72520390.529411763</v>
      </c>
      <c r="Y51" s="580">
        <v>64215656.453405015</v>
      </c>
      <c r="Z51" s="580">
        <f t="shared" si="10"/>
        <v>56018317.307807811</v>
      </c>
      <c r="AA51" s="580">
        <f t="shared" si="10"/>
        <v>56182475.908268735</v>
      </c>
      <c r="AB51" s="580">
        <f t="shared" si="10"/>
        <v>57855275.939909294</v>
      </c>
      <c r="AC51" s="580">
        <f t="shared" si="10"/>
        <v>52317297.478468895</v>
      </c>
      <c r="AD51" s="580">
        <f t="shared" si="10"/>
        <v>50067630.984962404</v>
      </c>
      <c r="AE51" s="580">
        <f t="shared" si="10"/>
        <v>54290683.047510669</v>
      </c>
      <c r="AF51" s="838"/>
      <c r="AG51" s="829"/>
      <c r="AH51" s="823"/>
      <c r="AI51" s="823"/>
      <c r="AJ51" s="659" t="s">
        <v>505</v>
      </c>
      <c r="AK51" s="807"/>
      <c r="AL51" s="807"/>
      <c r="AM51" s="807"/>
      <c r="AN51" s="807"/>
      <c r="AO51" s="807"/>
      <c r="AP51" s="807"/>
      <c r="AQ51" s="807"/>
      <c r="AR51" s="807"/>
      <c r="AS51" s="807"/>
      <c r="AT51" s="807"/>
      <c r="AU51" s="807"/>
      <c r="AV51" s="807"/>
      <c r="AW51" s="807"/>
      <c r="AX51" s="807"/>
      <c r="AY51" s="584"/>
    </row>
    <row r="52" spans="1:51" ht="22.9" customHeight="1" x14ac:dyDescent="0.25">
      <c r="A52" s="828"/>
      <c r="B52" s="822"/>
      <c r="C52" s="821" t="s">
        <v>535</v>
      </c>
      <c r="D52" s="572" t="s">
        <v>345</v>
      </c>
      <c r="E52" s="582"/>
      <c r="F52" s="582"/>
      <c r="G52" s="582"/>
      <c r="H52" s="582">
        <v>1</v>
      </c>
      <c r="I52" s="580">
        <v>1</v>
      </c>
      <c r="J52" s="581">
        <v>2</v>
      </c>
      <c r="K52" s="580">
        <v>3</v>
      </c>
      <c r="L52" s="580">
        <v>4</v>
      </c>
      <c r="M52" s="581">
        <v>5</v>
      </c>
      <c r="N52" s="582">
        <v>5</v>
      </c>
      <c r="O52" s="582">
        <v>5</v>
      </c>
      <c r="P52" s="580">
        <v>5</v>
      </c>
      <c r="Q52" s="580">
        <v>5</v>
      </c>
      <c r="R52" s="580">
        <v>5</v>
      </c>
      <c r="S52" s="580"/>
      <c r="T52" s="575"/>
      <c r="U52" s="580">
        <v>1</v>
      </c>
      <c r="V52" s="580">
        <v>1</v>
      </c>
      <c r="W52" s="581">
        <v>2</v>
      </c>
      <c r="X52" s="580">
        <v>3</v>
      </c>
      <c r="Y52" s="580">
        <v>4</v>
      </c>
      <c r="Z52" s="581">
        <f t="shared" si="10"/>
        <v>5</v>
      </c>
      <c r="AA52" s="580">
        <f t="shared" si="10"/>
        <v>5</v>
      </c>
      <c r="AB52" s="580">
        <f t="shared" si="10"/>
        <v>5</v>
      </c>
      <c r="AC52" s="580">
        <f t="shared" si="10"/>
        <v>5</v>
      </c>
      <c r="AD52" s="580">
        <f t="shared" si="10"/>
        <v>5</v>
      </c>
      <c r="AE52" s="580">
        <f t="shared" si="10"/>
        <v>5</v>
      </c>
      <c r="AF52" s="899" t="s">
        <v>536</v>
      </c>
      <c r="AG52" s="827" t="s">
        <v>535</v>
      </c>
      <c r="AH52" s="824" t="s">
        <v>537</v>
      </c>
      <c r="AI52" s="824" t="s">
        <v>538</v>
      </c>
      <c r="AJ52" s="656" t="s">
        <v>499</v>
      </c>
      <c r="AK52" s="826" t="s">
        <v>490</v>
      </c>
      <c r="AL52" s="826" t="s">
        <v>539</v>
      </c>
      <c r="AM52" s="826" t="s">
        <v>491</v>
      </c>
      <c r="AN52" s="861">
        <v>182943</v>
      </c>
      <c r="AO52" s="820">
        <v>90946</v>
      </c>
      <c r="AP52" s="820">
        <v>91997</v>
      </c>
      <c r="AQ52" s="840" t="s">
        <v>492</v>
      </c>
      <c r="AR52" s="840" t="s">
        <v>492</v>
      </c>
      <c r="AS52" s="840" t="s">
        <v>492</v>
      </c>
      <c r="AT52" s="840" t="s">
        <v>492</v>
      </c>
      <c r="AU52" s="833" t="s">
        <v>492</v>
      </c>
      <c r="AV52" s="833" t="s">
        <v>492</v>
      </c>
      <c r="AW52" s="833" t="s">
        <v>492</v>
      </c>
      <c r="AX52" s="861">
        <v>182943</v>
      </c>
      <c r="AY52" s="584"/>
    </row>
    <row r="53" spans="1:51" ht="20.45" customHeight="1" x14ac:dyDescent="0.25">
      <c r="A53" s="828"/>
      <c r="B53" s="822"/>
      <c r="C53" s="822"/>
      <c r="D53" s="578" t="s">
        <v>349</v>
      </c>
      <c r="E53" s="582"/>
      <c r="F53" s="582"/>
      <c r="G53" s="582"/>
      <c r="H53" s="582">
        <v>34899772.727272727</v>
      </c>
      <c r="I53" s="580">
        <v>19194875</v>
      </c>
      <c r="J53" s="580">
        <v>26940175.438596491</v>
      </c>
      <c r="K53" s="580">
        <v>30711800</v>
      </c>
      <c r="L53" s="580">
        <v>33700172.043010756</v>
      </c>
      <c r="M53" s="580">
        <f>+M52*$Z$11/$Z$10</f>
        <v>35294099.0990991</v>
      </c>
      <c r="N53" s="582">
        <f>+N52*$AA$11/$AA$10</f>
        <v>30369341.085271318</v>
      </c>
      <c r="O53" s="582">
        <f>+O52*$AB$11/$AB$10</f>
        <v>27618673.469387755</v>
      </c>
      <c r="P53" s="580">
        <f>+P52*$AC$11/$AC$10</f>
        <v>24605727.272727273</v>
      </c>
      <c r="Q53" s="580">
        <f>+Q52*$AD$11/$AD$10</f>
        <v>23199685.714285713</v>
      </c>
      <c r="R53" s="580">
        <f>+R52*$AE$11/$AE$10</f>
        <v>22968082.891891893</v>
      </c>
      <c r="S53" s="580"/>
      <c r="T53" s="575"/>
      <c r="U53" s="580">
        <v>34899772.727272727</v>
      </c>
      <c r="V53" s="580">
        <v>19194875</v>
      </c>
      <c r="W53" s="581">
        <v>26940175.438596491</v>
      </c>
      <c r="X53" s="580">
        <v>30711800</v>
      </c>
      <c r="Y53" s="580">
        <v>33700172.043010756</v>
      </c>
      <c r="Z53" s="580">
        <f t="shared" si="10"/>
        <v>35294099.0990991</v>
      </c>
      <c r="AA53" s="580">
        <f t="shared" si="10"/>
        <v>30369341.085271318</v>
      </c>
      <c r="AB53" s="580">
        <f t="shared" si="10"/>
        <v>27618673.469387755</v>
      </c>
      <c r="AC53" s="580">
        <f t="shared" si="10"/>
        <v>24605727.272727273</v>
      </c>
      <c r="AD53" s="580">
        <f t="shared" si="10"/>
        <v>23199685.714285713</v>
      </c>
      <c r="AE53" s="580">
        <f t="shared" si="10"/>
        <v>22968082.891891893</v>
      </c>
      <c r="AF53" s="838"/>
      <c r="AG53" s="828"/>
      <c r="AH53" s="822"/>
      <c r="AI53" s="822"/>
      <c r="AJ53" s="661" t="s">
        <v>528</v>
      </c>
      <c r="AK53" s="806"/>
      <c r="AL53" s="806"/>
      <c r="AM53" s="806"/>
      <c r="AN53" s="806"/>
      <c r="AO53" s="806"/>
      <c r="AP53" s="806"/>
      <c r="AQ53" s="806"/>
      <c r="AR53" s="806"/>
      <c r="AS53" s="806"/>
      <c r="AT53" s="806"/>
      <c r="AU53" s="806"/>
      <c r="AV53" s="806"/>
      <c r="AW53" s="806"/>
      <c r="AX53" s="806"/>
      <c r="AY53" s="584"/>
    </row>
    <row r="54" spans="1:51" ht="28.9" customHeight="1" x14ac:dyDescent="0.25">
      <c r="A54" s="828"/>
      <c r="B54" s="822"/>
      <c r="C54" s="822"/>
      <c r="D54" s="579" t="s">
        <v>351</v>
      </c>
      <c r="E54" s="582"/>
      <c r="F54" s="582"/>
      <c r="G54" s="582"/>
      <c r="H54" s="582"/>
      <c r="I54" s="580"/>
      <c r="J54" s="581"/>
      <c r="K54" s="580"/>
      <c r="L54" s="580"/>
      <c r="M54" s="581"/>
      <c r="N54" s="582"/>
      <c r="O54" s="582"/>
      <c r="P54" s="580"/>
      <c r="Q54" s="580"/>
      <c r="R54" s="580"/>
      <c r="S54" s="580"/>
      <c r="T54" s="575"/>
      <c r="U54" s="580">
        <v>0</v>
      </c>
      <c r="V54" s="580">
        <v>0</v>
      </c>
      <c r="W54" s="581">
        <v>0</v>
      </c>
      <c r="X54" s="580">
        <v>0</v>
      </c>
      <c r="Y54" s="580">
        <v>0</v>
      </c>
      <c r="Z54" s="581">
        <f t="shared" ref="Z54:AE69" si="14">+M54</f>
        <v>0</v>
      </c>
      <c r="AA54" s="580">
        <f t="shared" si="14"/>
        <v>0</v>
      </c>
      <c r="AB54" s="580">
        <f t="shared" si="14"/>
        <v>0</v>
      </c>
      <c r="AC54" s="580">
        <f t="shared" si="14"/>
        <v>0</v>
      </c>
      <c r="AD54" s="580">
        <f t="shared" si="14"/>
        <v>0</v>
      </c>
      <c r="AE54" s="580">
        <f t="shared" si="14"/>
        <v>0</v>
      </c>
      <c r="AF54" s="838"/>
      <c r="AG54" s="828"/>
      <c r="AH54" s="822"/>
      <c r="AI54" s="822"/>
      <c r="AJ54" s="657" t="s">
        <v>502</v>
      </c>
      <c r="AK54" s="806"/>
      <c r="AL54" s="806"/>
      <c r="AM54" s="806"/>
      <c r="AN54" s="806"/>
      <c r="AO54" s="806"/>
      <c r="AP54" s="806"/>
      <c r="AQ54" s="806"/>
      <c r="AR54" s="806"/>
      <c r="AS54" s="806"/>
      <c r="AT54" s="806"/>
      <c r="AU54" s="806"/>
      <c r="AV54" s="806"/>
      <c r="AW54" s="806"/>
      <c r="AX54" s="806"/>
      <c r="AY54" s="584"/>
    </row>
    <row r="55" spans="1:51" ht="30.6" customHeight="1" x14ac:dyDescent="0.25">
      <c r="A55" s="828"/>
      <c r="B55" s="822"/>
      <c r="C55" s="822"/>
      <c r="D55" s="578" t="s">
        <v>352</v>
      </c>
      <c r="E55" s="582"/>
      <c r="F55" s="582"/>
      <c r="G55" s="582"/>
      <c r="H55" s="582">
        <v>6088333.7142857146</v>
      </c>
      <c r="I55" s="575">
        <v>6530118.4117647056</v>
      </c>
      <c r="J55" s="575">
        <v>8720535.2352941185</v>
      </c>
      <c r="K55" s="575">
        <v>11096790.529411765</v>
      </c>
      <c r="L55" s="575">
        <v>13665398.388888888</v>
      </c>
      <c r="M55" s="575">
        <v>13665398.388888888</v>
      </c>
      <c r="N55" s="583">
        <v>13665398.388888888</v>
      </c>
      <c r="O55" s="583">
        <v>13665398.388888888</v>
      </c>
      <c r="P55" s="575">
        <v>12948133.842105264</v>
      </c>
      <c r="Q55" s="575">
        <v>12948133.842105264</v>
      </c>
      <c r="R55" s="575">
        <v>12948133.842105264</v>
      </c>
      <c r="S55" s="575"/>
      <c r="T55" s="575"/>
      <c r="U55" s="580">
        <v>6088333.7142857146</v>
      </c>
      <c r="V55" s="580">
        <v>6530118.4117647056</v>
      </c>
      <c r="W55" s="581">
        <v>8720535.2352941185</v>
      </c>
      <c r="X55" s="580">
        <v>11096790.529411765</v>
      </c>
      <c r="Y55" s="580">
        <v>13665398.388888888</v>
      </c>
      <c r="Z55" s="574">
        <f t="shared" si="14"/>
        <v>13665398.388888888</v>
      </c>
      <c r="AA55" s="580">
        <f t="shared" si="14"/>
        <v>13665398.388888888</v>
      </c>
      <c r="AB55" s="580">
        <f t="shared" si="14"/>
        <v>13665398.388888888</v>
      </c>
      <c r="AC55" s="580">
        <f t="shared" si="14"/>
        <v>12948133.842105264</v>
      </c>
      <c r="AD55" s="580">
        <f t="shared" si="14"/>
        <v>12948133.842105264</v>
      </c>
      <c r="AE55" s="575">
        <f t="shared" si="14"/>
        <v>12948133.842105264</v>
      </c>
      <c r="AF55" s="838"/>
      <c r="AG55" s="828"/>
      <c r="AH55" s="822"/>
      <c r="AI55" s="822"/>
      <c r="AJ55" s="661" t="s">
        <v>503</v>
      </c>
      <c r="AK55" s="806"/>
      <c r="AL55" s="806"/>
      <c r="AM55" s="806"/>
      <c r="AN55" s="806"/>
      <c r="AO55" s="806"/>
      <c r="AP55" s="806"/>
      <c r="AQ55" s="806"/>
      <c r="AR55" s="806"/>
      <c r="AS55" s="806"/>
      <c r="AT55" s="806"/>
      <c r="AU55" s="806"/>
      <c r="AV55" s="806"/>
      <c r="AW55" s="806"/>
      <c r="AX55" s="806"/>
      <c r="AY55" s="584"/>
    </row>
    <row r="56" spans="1:51" ht="72" customHeight="1" x14ac:dyDescent="0.25">
      <c r="A56" s="828"/>
      <c r="B56" s="822"/>
      <c r="C56" s="822"/>
      <c r="D56" s="579" t="s">
        <v>353</v>
      </c>
      <c r="E56" s="582"/>
      <c r="F56" s="582"/>
      <c r="G56" s="582"/>
      <c r="H56" s="582">
        <v>1</v>
      </c>
      <c r="I56" s="580">
        <v>1</v>
      </c>
      <c r="J56" s="581">
        <v>2</v>
      </c>
      <c r="K56" s="580">
        <v>3</v>
      </c>
      <c r="L56" s="580">
        <v>4</v>
      </c>
      <c r="M56" s="581">
        <v>5</v>
      </c>
      <c r="N56" s="582">
        <v>5</v>
      </c>
      <c r="O56" s="582">
        <v>5</v>
      </c>
      <c r="P56" s="580">
        <v>5</v>
      </c>
      <c r="Q56" s="580">
        <v>5</v>
      </c>
      <c r="R56" s="580">
        <v>5</v>
      </c>
      <c r="S56" s="580"/>
      <c r="T56" s="575"/>
      <c r="U56" s="580">
        <v>1</v>
      </c>
      <c r="V56" s="580">
        <v>1</v>
      </c>
      <c r="W56" s="581">
        <v>2</v>
      </c>
      <c r="X56" s="580">
        <v>3</v>
      </c>
      <c r="Y56" s="580">
        <v>4</v>
      </c>
      <c r="Z56" s="581">
        <f t="shared" si="14"/>
        <v>5</v>
      </c>
      <c r="AA56" s="580">
        <f t="shared" si="14"/>
        <v>5</v>
      </c>
      <c r="AB56" s="580">
        <f t="shared" si="14"/>
        <v>5</v>
      </c>
      <c r="AC56" s="580">
        <f t="shared" si="14"/>
        <v>5</v>
      </c>
      <c r="AD56" s="580">
        <f t="shared" si="14"/>
        <v>5</v>
      </c>
      <c r="AE56" s="580">
        <f t="shared" si="14"/>
        <v>5</v>
      </c>
      <c r="AF56" s="838"/>
      <c r="AG56" s="828"/>
      <c r="AH56" s="822"/>
      <c r="AI56" s="822"/>
      <c r="AJ56" s="658" t="s">
        <v>504</v>
      </c>
      <c r="AK56" s="806"/>
      <c r="AL56" s="806"/>
      <c r="AM56" s="806"/>
      <c r="AN56" s="806"/>
      <c r="AO56" s="806"/>
      <c r="AP56" s="806"/>
      <c r="AQ56" s="806"/>
      <c r="AR56" s="806"/>
      <c r="AS56" s="806"/>
      <c r="AT56" s="806"/>
      <c r="AU56" s="806"/>
      <c r="AV56" s="806"/>
      <c r="AW56" s="806"/>
      <c r="AX56" s="806"/>
      <c r="AY56" s="584"/>
    </row>
    <row r="57" spans="1:51" ht="28.9" customHeight="1" x14ac:dyDescent="0.25">
      <c r="A57" s="828"/>
      <c r="B57" s="822"/>
      <c r="C57" s="823"/>
      <c r="D57" s="578" t="s">
        <v>354</v>
      </c>
      <c r="E57" s="582"/>
      <c r="F57" s="582"/>
      <c r="G57" s="582"/>
      <c r="H57" s="582">
        <v>40988106.441558443</v>
      </c>
      <c r="I57" s="580">
        <v>25724993.411764704</v>
      </c>
      <c r="J57" s="580">
        <v>35660710.673890606</v>
      </c>
      <c r="K57" s="580">
        <v>41808590.529411763</v>
      </c>
      <c r="L57" s="580">
        <v>47365570.431899644</v>
      </c>
      <c r="M57" s="580">
        <f t="shared" ref="M57:R57" si="15">+M53+M55</f>
        <v>48959497.487987988</v>
      </c>
      <c r="N57" s="582">
        <f t="shared" si="15"/>
        <v>44034739.474160209</v>
      </c>
      <c r="O57" s="582">
        <f t="shared" si="15"/>
        <v>41284071.858276643</v>
      </c>
      <c r="P57" s="580">
        <f t="shared" si="15"/>
        <v>37553861.114832535</v>
      </c>
      <c r="Q57" s="580">
        <f t="shared" si="15"/>
        <v>36147819.556390978</v>
      </c>
      <c r="R57" s="580">
        <f t="shared" si="15"/>
        <v>35916216.733997159</v>
      </c>
      <c r="S57" s="580"/>
      <c r="T57" s="575"/>
      <c r="U57" s="580">
        <v>40988106.441558443</v>
      </c>
      <c r="V57" s="580">
        <v>25724993.411764704</v>
      </c>
      <c r="W57" s="581">
        <v>35660710.673890606</v>
      </c>
      <c r="X57" s="580">
        <v>41808590.529411763</v>
      </c>
      <c r="Y57" s="580">
        <v>47365570.431899644</v>
      </c>
      <c r="Z57" s="580">
        <f t="shared" si="14"/>
        <v>48959497.487987988</v>
      </c>
      <c r="AA57" s="580">
        <f t="shared" si="14"/>
        <v>44034739.474160209</v>
      </c>
      <c r="AB57" s="580">
        <f t="shared" si="14"/>
        <v>41284071.858276643</v>
      </c>
      <c r="AC57" s="580">
        <f t="shared" si="14"/>
        <v>37553861.114832535</v>
      </c>
      <c r="AD57" s="580">
        <f t="shared" si="14"/>
        <v>36147819.556390978</v>
      </c>
      <c r="AE57" s="580">
        <f t="shared" si="14"/>
        <v>35916216.733997159</v>
      </c>
      <c r="AF57" s="838"/>
      <c r="AG57" s="829"/>
      <c r="AH57" s="823"/>
      <c r="AI57" s="823"/>
      <c r="AJ57" s="659" t="s">
        <v>505</v>
      </c>
      <c r="AK57" s="807"/>
      <c r="AL57" s="807"/>
      <c r="AM57" s="807"/>
      <c r="AN57" s="807"/>
      <c r="AO57" s="807"/>
      <c r="AP57" s="807"/>
      <c r="AQ57" s="807"/>
      <c r="AR57" s="807"/>
      <c r="AS57" s="807"/>
      <c r="AT57" s="807"/>
      <c r="AU57" s="807"/>
      <c r="AV57" s="807"/>
      <c r="AW57" s="807"/>
      <c r="AX57" s="807"/>
      <c r="AY57" s="584"/>
    </row>
    <row r="58" spans="1:51" ht="22.9" customHeight="1" x14ac:dyDescent="0.25">
      <c r="A58" s="828"/>
      <c r="B58" s="822"/>
      <c r="C58" s="821" t="s">
        <v>540</v>
      </c>
      <c r="D58" s="572" t="s">
        <v>345</v>
      </c>
      <c r="E58" s="582"/>
      <c r="F58" s="582"/>
      <c r="G58" s="582"/>
      <c r="H58" s="582"/>
      <c r="I58" s="580">
        <v>1</v>
      </c>
      <c r="J58" s="580">
        <v>2</v>
      </c>
      <c r="K58" s="580">
        <v>2</v>
      </c>
      <c r="L58" s="580">
        <v>6</v>
      </c>
      <c r="M58" s="581">
        <v>9</v>
      </c>
      <c r="N58" s="582">
        <v>13</v>
      </c>
      <c r="O58" s="582">
        <v>14</v>
      </c>
      <c r="P58" s="580">
        <v>14</v>
      </c>
      <c r="Q58" s="580">
        <v>15</v>
      </c>
      <c r="R58" s="580">
        <v>15</v>
      </c>
      <c r="S58" s="580"/>
      <c r="T58" s="575"/>
      <c r="U58" s="580">
        <v>0</v>
      </c>
      <c r="V58" s="580">
        <v>1</v>
      </c>
      <c r="W58" s="581">
        <v>2</v>
      </c>
      <c r="X58" s="580">
        <v>2</v>
      </c>
      <c r="Y58" s="580">
        <v>6</v>
      </c>
      <c r="Z58" s="581">
        <f t="shared" si="14"/>
        <v>9</v>
      </c>
      <c r="AA58" s="580">
        <f t="shared" si="14"/>
        <v>13</v>
      </c>
      <c r="AB58" s="580">
        <f t="shared" si="14"/>
        <v>14</v>
      </c>
      <c r="AC58" s="580">
        <f t="shared" si="14"/>
        <v>14</v>
      </c>
      <c r="AD58" s="580">
        <f t="shared" si="14"/>
        <v>15</v>
      </c>
      <c r="AE58" s="580">
        <f t="shared" si="14"/>
        <v>15</v>
      </c>
      <c r="AF58" s="899" t="s">
        <v>541</v>
      </c>
      <c r="AG58" s="827" t="s">
        <v>542</v>
      </c>
      <c r="AH58" s="824" t="s">
        <v>543</v>
      </c>
      <c r="AI58" s="824" t="s">
        <v>544</v>
      </c>
      <c r="AJ58" s="656" t="s">
        <v>499</v>
      </c>
      <c r="AK58" s="826" t="s">
        <v>490</v>
      </c>
      <c r="AL58" s="826" t="s">
        <v>545</v>
      </c>
      <c r="AM58" s="826" t="s">
        <v>491</v>
      </c>
      <c r="AN58" s="861">
        <v>729781</v>
      </c>
      <c r="AO58" s="861">
        <v>351203</v>
      </c>
      <c r="AP58" s="861">
        <v>378578</v>
      </c>
      <c r="AQ58" s="840" t="s">
        <v>492</v>
      </c>
      <c r="AR58" s="840" t="s">
        <v>492</v>
      </c>
      <c r="AS58" s="840" t="s">
        <v>492</v>
      </c>
      <c r="AT58" s="840" t="s">
        <v>492</v>
      </c>
      <c r="AU58" s="833" t="s">
        <v>492</v>
      </c>
      <c r="AV58" s="833" t="s">
        <v>492</v>
      </c>
      <c r="AW58" s="833" t="s">
        <v>492</v>
      </c>
      <c r="AX58" s="861">
        <v>729781</v>
      </c>
      <c r="AY58" s="584"/>
    </row>
    <row r="59" spans="1:51" ht="34.15" customHeight="1" x14ac:dyDescent="0.25">
      <c r="A59" s="828"/>
      <c r="B59" s="822"/>
      <c r="C59" s="822"/>
      <c r="D59" s="578" t="s">
        <v>349</v>
      </c>
      <c r="E59" s="582"/>
      <c r="F59" s="582"/>
      <c r="G59" s="582"/>
      <c r="H59" s="582"/>
      <c r="I59" s="580">
        <v>19194875</v>
      </c>
      <c r="J59" s="580">
        <v>26940175.438596491</v>
      </c>
      <c r="K59" s="580">
        <v>20474533.333333332</v>
      </c>
      <c r="L59" s="580">
        <v>50550258.064516127</v>
      </c>
      <c r="M59" s="580">
        <f>+M58*$Z$11/$Z$10</f>
        <v>63529378.378378376</v>
      </c>
      <c r="N59" s="582">
        <f>+N58*$AA$11/$AA$10</f>
        <v>78960286.821705431</v>
      </c>
      <c r="O59" s="582">
        <f>+O58*$AB$11/$AB$10</f>
        <v>77332285.714285716</v>
      </c>
      <c r="P59" s="580">
        <f>+P58*$AC$11/$AC$10</f>
        <v>68896036.36363636</v>
      </c>
      <c r="Q59" s="580">
        <f>+Q58*$AD$11/$AD$10</f>
        <v>69599057.142857149</v>
      </c>
      <c r="R59" s="580">
        <f>+R58*$AE$11/$AE$10</f>
        <v>68904248.675675675</v>
      </c>
      <c r="S59" s="580"/>
      <c r="T59" s="575"/>
      <c r="U59" s="580">
        <v>0</v>
      </c>
      <c r="V59" s="580">
        <v>19194875</v>
      </c>
      <c r="W59" s="581">
        <v>26940175.438596491</v>
      </c>
      <c r="X59" s="580">
        <v>20474533.333333332</v>
      </c>
      <c r="Y59" s="580">
        <v>50550258.064516127</v>
      </c>
      <c r="Z59" s="580">
        <f t="shared" si="14"/>
        <v>63529378.378378376</v>
      </c>
      <c r="AA59" s="580">
        <f t="shared" si="14"/>
        <v>78960286.821705431</v>
      </c>
      <c r="AB59" s="580">
        <f t="shared" si="14"/>
        <v>77332285.714285716</v>
      </c>
      <c r="AC59" s="580">
        <f t="shared" si="14"/>
        <v>68896036.36363636</v>
      </c>
      <c r="AD59" s="580">
        <f t="shared" si="14"/>
        <v>69599057.142857149</v>
      </c>
      <c r="AE59" s="580">
        <f t="shared" si="14"/>
        <v>68904248.675675675</v>
      </c>
      <c r="AF59" s="838"/>
      <c r="AG59" s="828"/>
      <c r="AH59" s="822"/>
      <c r="AI59" s="822"/>
      <c r="AJ59" s="657" t="s">
        <v>501</v>
      </c>
      <c r="AK59" s="806"/>
      <c r="AL59" s="806"/>
      <c r="AM59" s="806"/>
      <c r="AN59" s="806"/>
      <c r="AO59" s="806"/>
      <c r="AP59" s="806"/>
      <c r="AQ59" s="806"/>
      <c r="AR59" s="806"/>
      <c r="AS59" s="806"/>
      <c r="AT59" s="806"/>
      <c r="AU59" s="806"/>
      <c r="AV59" s="806"/>
      <c r="AW59" s="806"/>
      <c r="AX59" s="806"/>
      <c r="AY59" s="584"/>
    </row>
    <row r="60" spans="1:51" ht="28.9" customHeight="1" x14ac:dyDescent="0.25">
      <c r="A60" s="828"/>
      <c r="B60" s="822"/>
      <c r="C60" s="822"/>
      <c r="D60" s="579" t="s">
        <v>351</v>
      </c>
      <c r="E60" s="582"/>
      <c r="F60" s="582"/>
      <c r="G60" s="582"/>
      <c r="H60" s="582"/>
      <c r="I60" s="580"/>
      <c r="J60" s="581"/>
      <c r="K60" s="580"/>
      <c r="L60" s="580"/>
      <c r="M60" s="581"/>
      <c r="N60" s="582"/>
      <c r="O60" s="582"/>
      <c r="P60" s="580"/>
      <c r="Q60" s="580"/>
      <c r="R60" s="580"/>
      <c r="S60" s="580"/>
      <c r="T60" s="575"/>
      <c r="U60" s="580">
        <v>0</v>
      </c>
      <c r="V60" s="580">
        <v>0</v>
      </c>
      <c r="W60" s="581">
        <v>0</v>
      </c>
      <c r="X60" s="580">
        <v>0</v>
      </c>
      <c r="Y60" s="580">
        <v>0</v>
      </c>
      <c r="Z60" s="581">
        <f t="shared" si="14"/>
        <v>0</v>
      </c>
      <c r="AA60" s="580">
        <f t="shared" si="14"/>
        <v>0</v>
      </c>
      <c r="AB60" s="580">
        <f t="shared" si="14"/>
        <v>0</v>
      </c>
      <c r="AC60" s="580">
        <f t="shared" si="14"/>
        <v>0</v>
      </c>
      <c r="AD60" s="580">
        <f t="shared" si="14"/>
        <v>0</v>
      </c>
      <c r="AE60" s="580">
        <f t="shared" si="14"/>
        <v>0</v>
      </c>
      <c r="AF60" s="838"/>
      <c r="AG60" s="828"/>
      <c r="AH60" s="822"/>
      <c r="AI60" s="822"/>
      <c r="AJ60" s="657" t="s">
        <v>502</v>
      </c>
      <c r="AK60" s="806"/>
      <c r="AL60" s="806"/>
      <c r="AM60" s="806"/>
      <c r="AN60" s="806"/>
      <c r="AO60" s="806"/>
      <c r="AP60" s="806"/>
      <c r="AQ60" s="806"/>
      <c r="AR60" s="806"/>
      <c r="AS60" s="806"/>
      <c r="AT60" s="806"/>
      <c r="AU60" s="806"/>
      <c r="AV60" s="806"/>
      <c r="AW60" s="806"/>
      <c r="AX60" s="806"/>
      <c r="AY60" s="584"/>
    </row>
    <row r="61" spans="1:51" ht="45.6" customHeight="1" x14ac:dyDescent="0.25">
      <c r="A61" s="828"/>
      <c r="B61" s="822"/>
      <c r="C61" s="822"/>
      <c r="D61" s="578" t="s">
        <v>352</v>
      </c>
      <c r="E61" s="582"/>
      <c r="F61" s="582"/>
      <c r="G61" s="582"/>
      <c r="H61" s="582"/>
      <c r="I61" s="575">
        <v>6530118.4117647056</v>
      </c>
      <c r="J61" s="575">
        <v>8720535.2352941185</v>
      </c>
      <c r="K61" s="575">
        <v>11096790.529411765</v>
      </c>
      <c r="L61" s="575">
        <v>13665398.388888888</v>
      </c>
      <c r="M61" s="575">
        <v>13665398.388888888</v>
      </c>
      <c r="N61" s="583">
        <v>13665398.388888888</v>
      </c>
      <c r="O61" s="583">
        <v>13665398.388888888</v>
      </c>
      <c r="P61" s="575">
        <v>12948133.842105264</v>
      </c>
      <c r="Q61" s="575">
        <v>12948133.842105264</v>
      </c>
      <c r="R61" s="575">
        <v>12948133.842105264</v>
      </c>
      <c r="S61" s="575"/>
      <c r="T61" s="575"/>
      <c r="U61" s="580">
        <v>0</v>
      </c>
      <c r="V61" s="580">
        <v>6530118.4117647056</v>
      </c>
      <c r="W61" s="581">
        <v>8720535.2352941185</v>
      </c>
      <c r="X61" s="580">
        <v>11096790.529411765</v>
      </c>
      <c r="Y61" s="580">
        <v>13665398.388888888</v>
      </c>
      <c r="Z61" s="574">
        <f t="shared" si="14"/>
        <v>13665398.388888888</v>
      </c>
      <c r="AA61" s="580">
        <f t="shared" si="14"/>
        <v>13665398.388888888</v>
      </c>
      <c r="AB61" s="580">
        <f t="shared" si="14"/>
        <v>13665398.388888888</v>
      </c>
      <c r="AC61" s="580">
        <f t="shared" si="14"/>
        <v>12948133.842105264</v>
      </c>
      <c r="AD61" s="580">
        <f t="shared" si="14"/>
        <v>12948133.842105264</v>
      </c>
      <c r="AE61" s="575">
        <f t="shared" si="14"/>
        <v>12948133.842105264</v>
      </c>
      <c r="AF61" s="838"/>
      <c r="AG61" s="828"/>
      <c r="AH61" s="822"/>
      <c r="AI61" s="822"/>
      <c r="AJ61" s="657" t="s">
        <v>503</v>
      </c>
      <c r="AK61" s="806"/>
      <c r="AL61" s="806"/>
      <c r="AM61" s="806"/>
      <c r="AN61" s="806"/>
      <c r="AO61" s="806"/>
      <c r="AP61" s="806"/>
      <c r="AQ61" s="806"/>
      <c r="AR61" s="806"/>
      <c r="AS61" s="806"/>
      <c r="AT61" s="806"/>
      <c r="AU61" s="806"/>
      <c r="AV61" s="806"/>
      <c r="AW61" s="806"/>
      <c r="AX61" s="806"/>
      <c r="AY61" s="584"/>
    </row>
    <row r="62" spans="1:51" ht="72" customHeight="1" x14ac:dyDescent="0.25">
      <c r="A62" s="828"/>
      <c r="B62" s="822"/>
      <c r="C62" s="822"/>
      <c r="D62" s="579" t="s">
        <v>353</v>
      </c>
      <c r="E62" s="582"/>
      <c r="F62" s="582"/>
      <c r="G62" s="582"/>
      <c r="H62" s="582"/>
      <c r="I62" s="580">
        <v>1</v>
      </c>
      <c r="J62" s="581">
        <v>2</v>
      </c>
      <c r="K62" s="580">
        <v>2</v>
      </c>
      <c r="L62" s="580">
        <v>6</v>
      </c>
      <c r="M62" s="581">
        <v>9</v>
      </c>
      <c r="N62" s="582">
        <v>13</v>
      </c>
      <c r="O62" s="582">
        <v>14</v>
      </c>
      <c r="P62" s="580">
        <v>14</v>
      </c>
      <c r="Q62" s="580">
        <v>15</v>
      </c>
      <c r="R62" s="580">
        <v>15</v>
      </c>
      <c r="S62" s="580"/>
      <c r="T62" s="575"/>
      <c r="U62" s="580">
        <v>0</v>
      </c>
      <c r="V62" s="580">
        <v>1</v>
      </c>
      <c r="W62" s="581">
        <v>2</v>
      </c>
      <c r="X62" s="580">
        <v>2</v>
      </c>
      <c r="Y62" s="580">
        <v>6</v>
      </c>
      <c r="Z62" s="581">
        <f t="shared" si="14"/>
        <v>9</v>
      </c>
      <c r="AA62" s="580">
        <f t="shared" si="14"/>
        <v>13</v>
      </c>
      <c r="AB62" s="580">
        <f t="shared" si="14"/>
        <v>14</v>
      </c>
      <c r="AC62" s="580">
        <f t="shared" si="14"/>
        <v>14</v>
      </c>
      <c r="AD62" s="580">
        <f t="shared" si="14"/>
        <v>15</v>
      </c>
      <c r="AE62" s="580">
        <f t="shared" si="14"/>
        <v>15</v>
      </c>
      <c r="AF62" s="838"/>
      <c r="AG62" s="828"/>
      <c r="AH62" s="822"/>
      <c r="AI62" s="822"/>
      <c r="AJ62" s="658" t="s">
        <v>504</v>
      </c>
      <c r="AK62" s="806"/>
      <c r="AL62" s="806"/>
      <c r="AM62" s="806"/>
      <c r="AN62" s="806"/>
      <c r="AO62" s="806"/>
      <c r="AP62" s="806"/>
      <c r="AQ62" s="806"/>
      <c r="AR62" s="806"/>
      <c r="AS62" s="806"/>
      <c r="AT62" s="806"/>
      <c r="AU62" s="806"/>
      <c r="AV62" s="806"/>
      <c r="AW62" s="806"/>
      <c r="AX62" s="806"/>
      <c r="AY62" s="584"/>
    </row>
    <row r="63" spans="1:51" ht="28.9" customHeight="1" x14ac:dyDescent="0.25">
      <c r="A63" s="828"/>
      <c r="B63" s="822"/>
      <c r="C63" s="823"/>
      <c r="D63" s="578" t="s">
        <v>354</v>
      </c>
      <c r="E63" s="582"/>
      <c r="F63" s="582"/>
      <c r="G63" s="582"/>
      <c r="H63" s="582"/>
      <c r="I63" s="580">
        <v>25724993.411764704</v>
      </c>
      <c r="J63" s="580">
        <v>35660710.673890606</v>
      </c>
      <c r="K63" s="580">
        <v>31571323.862745099</v>
      </c>
      <c r="L63" s="580">
        <v>64215656.453405015</v>
      </c>
      <c r="M63" s="580">
        <f t="shared" ref="M63:R63" si="16">+M59+M61</f>
        <v>77194776.767267257</v>
      </c>
      <c r="N63" s="582">
        <f t="shared" si="16"/>
        <v>92625685.210594326</v>
      </c>
      <c r="O63" s="582">
        <f t="shared" si="16"/>
        <v>90997684.103174597</v>
      </c>
      <c r="P63" s="580">
        <f t="shared" si="16"/>
        <v>81844170.205741629</v>
      </c>
      <c r="Q63" s="580">
        <f t="shared" si="16"/>
        <v>82547190.984962419</v>
      </c>
      <c r="R63" s="580">
        <f t="shared" si="16"/>
        <v>81852382.517780945</v>
      </c>
      <c r="S63" s="580"/>
      <c r="T63" s="575"/>
      <c r="U63" s="580">
        <v>0</v>
      </c>
      <c r="V63" s="580">
        <v>25724993.411764704</v>
      </c>
      <c r="W63" s="581">
        <v>35660710.673890606</v>
      </c>
      <c r="X63" s="580">
        <v>31571323.862745099</v>
      </c>
      <c r="Y63" s="580">
        <v>64215656.453405015</v>
      </c>
      <c r="Z63" s="580">
        <f t="shared" si="14"/>
        <v>77194776.767267257</v>
      </c>
      <c r="AA63" s="580">
        <f t="shared" si="14"/>
        <v>92625685.210594326</v>
      </c>
      <c r="AB63" s="580">
        <f t="shared" si="14"/>
        <v>90997684.103174597</v>
      </c>
      <c r="AC63" s="580">
        <f t="shared" si="14"/>
        <v>81844170.205741629</v>
      </c>
      <c r="AD63" s="580">
        <f t="shared" si="14"/>
        <v>82547190.984962419</v>
      </c>
      <c r="AE63" s="580">
        <f t="shared" si="14"/>
        <v>81852382.517780945</v>
      </c>
      <c r="AF63" s="838"/>
      <c r="AG63" s="829"/>
      <c r="AH63" s="823"/>
      <c r="AI63" s="823"/>
      <c r="AJ63" s="659" t="s">
        <v>505</v>
      </c>
      <c r="AK63" s="807"/>
      <c r="AL63" s="807"/>
      <c r="AM63" s="807"/>
      <c r="AN63" s="807"/>
      <c r="AO63" s="807"/>
      <c r="AP63" s="807"/>
      <c r="AQ63" s="807"/>
      <c r="AR63" s="807"/>
      <c r="AS63" s="807"/>
      <c r="AT63" s="807"/>
      <c r="AU63" s="807"/>
      <c r="AV63" s="807"/>
      <c r="AW63" s="807"/>
      <c r="AX63" s="807"/>
      <c r="AY63" s="584"/>
    </row>
    <row r="64" spans="1:51" ht="22.9" customHeight="1" x14ac:dyDescent="0.25">
      <c r="A64" s="828"/>
      <c r="B64" s="822"/>
      <c r="C64" s="821" t="s">
        <v>546</v>
      </c>
      <c r="D64" s="572" t="s">
        <v>345</v>
      </c>
      <c r="E64" s="582"/>
      <c r="F64" s="582"/>
      <c r="G64" s="582">
        <v>1</v>
      </c>
      <c r="H64" s="582">
        <v>2</v>
      </c>
      <c r="I64" s="580">
        <v>4</v>
      </c>
      <c r="J64" s="580">
        <v>4</v>
      </c>
      <c r="K64" s="580">
        <v>5</v>
      </c>
      <c r="L64" s="580">
        <v>5</v>
      </c>
      <c r="M64" s="581">
        <v>6</v>
      </c>
      <c r="N64" s="582">
        <v>8</v>
      </c>
      <c r="O64" s="582">
        <v>8</v>
      </c>
      <c r="P64" s="580">
        <v>9</v>
      </c>
      <c r="Q64" s="580">
        <v>10</v>
      </c>
      <c r="R64" s="580">
        <v>10</v>
      </c>
      <c r="S64" s="580"/>
      <c r="T64" s="575"/>
      <c r="U64" s="580">
        <v>2</v>
      </c>
      <c r="V64" s="580">
        <v>4</v>
      </c>
      <c r="W64" s="581">
        <v>4</v>
      </c>
      <c r="X64" s="580">
        <v>5</v>
      </c>
      <c r="Y64" s="580">
        <v>5</v>
      </c>
      <c r="Z64" s="581">
        <f t="shared" si="14"/>
        <v>6</v>
      </c>
      <c r="AA64" s="580">
        <f t="shared" si="14"/>
        <v>8</v>
      </c>
      <c r="AB64" s="580">
        <f t="shared" si="14"/>
        <v>8</v>
      </c>
      <c r="AC64" s="580">
        <f t="shared" si="14"/>
        <v>9</v>
      </c>
      <c r="AD64" s="580">
        <f t="shared" si="14"/>
        <v>10</v>
      </c>
      <c r="AE64" s="580">
        <f t="shared" si="14"/>
        <v>10</v>
      </c>
      <c r="AF64" s="899" t="s">
        <v>547</v>
      </c>
      <c r="AG64" s="827" t="s">
        <v>546</v>
      </c>
      <c r="AH64" s="824" t="s">
        <v>548</v>
      </c>
      <c r="AI64" s="824" t="s">
        <v>549</v>
      </c>
      <c r="AJ64" s="656" t="s">
        <v>499</v>
      </c>
      <c r="AK64" s="826" t="s">
        <v>490</v>
      </c>
      <c r="AL64" s="826" t="s">
        <v>550</v>
      </c>
      <c r="AM64" s="826" t="s">
        <v>491</v>
      </c>
      <c r="AN64" s="861">
        <v>1035224</v>
      </c>
      <c r="AO64" s="861">
        <v>501861</v>
      </c>
      <c r="AP64" s="861">
        <v>533363</v>
      </c>
      <c r="AQ64" s="840" t="s">
        <v>492</v>
      </c>
      <c r="AR64" s="840" t="s">
        <v>492</v>
      </c>
      <c r="AS64" s="840" t="s">
        <v>492</v>
      </c>
      <c r="AT64" s="840" t="s">
        <v>492</v>
      </c>
      <c r="AU64" s="833" t="s">
        <v>492</v>
      </c>
      <c r="AV64" s="833" t="s">
        <v>492</v>
      </c>
      <c r="AW64" s="833" t="s">
        <v>492</v>
      </c>
      <c r="AX64" s="861">
        <v>1035224</v>
      </c>
      <c r="AY64" s="584"/>
    </row>
    <row r="65" spans="1:51" ht="20.45" customHeight="1" x14ac:dyDescent="0.25">
      <c r="A65" s="828"/>
      <c r="B65" s="822"/>
      <c r="C65" s="822"/>
      <c r="D65" s="578" t="s">
        <v>349</v>
      </c>
      <c r="E65" s="582"/>
      <c r="F65" s="582"/>
      <c r="G65" s="582"/>
      <c r="H65" s="582">
        <v>69799545.454545453</v>
      </c>
      <c r="I65" s="580">
        <v>76779500</v>
      </c>
      <c r="J65" s="580">
        <v>53880350.877192982</v>
      </c>
      <c r="K65" s="580">
        <v>51186333.333333336</v>
      </c>
      <c r="L65" s="580">
        <v>42125215.053763442</v>
      </c>
      <c r="M65" s="580">
        <f>+M64*$Z$11/$Z$10</f>
        <v>42352918.918918923</v>
      </c>
      <c r="N65" s="582">
        <f>+N64*$AA$11/$AA$10</f>
        <v>48590945.73643411</v>
      </c>
      <c r="O65" s="582">
        <f>+O64*$AB$11/$AB$10</f>
        <v>44189877.551020406</v>
      </c>
      <c r="P65" s="580">
        <f>+P64*$AC$11/$AC$10</f>
        <v>44290309.090909094</v>
      </c>
      <c r="Q65" s="580">
        <f>+Q64*$AD$11/$AD$10</f>
        <v>46399371.428571425</v>
      </c>
      <c r="R65" s="580">
        <f>+R64*$AE$11/$AE$10</f>
        <v>45936165.783783786</v>
      </c>
      <c r="S65" s="580"/>
      <c r="T65" s="575"/>
      <c r="U65" s="580">
        <v>69799545.454545453</v>
      </c>
      <c r="V65" s="580">
        <v>76779500</v>
      </c>
      <c r="W65" s="581">
        <v>53880350.877192982</v>
      </c>
      <c r="X65" s="580">
        <v>51186333.333333336</v>
      </c>
      <c r="Y65" s="580">
        <v>42125215.053763442</v>
      </c>
      <c r="Z65" s="580">
        <f t="shared" si="14"/>
        <v>42352918.918918923</v>
      </c>
      <c r="AA65" s="580">
        <f t="shared" si="14"/>
        <v>48590945.73643411</v>
      </c>
      <c r="AB65" s="580">
        <f t="shared" si="14"/>
        <v>44189877.551020406</v>
      </c>
      <c r="AC65" s="580">
        <f t="shared" si="14"/>
        <v>44290309.090909094</v>
      </c>
      <c r="AD65" s="580">
        <f t="shared" si="14"/>
        <v>46399371.428571425</v>
      </c>
      <c r="AE65" s="580">
        <f t="shared" si="14"/>
        <v>45936165.783783786</v>
      </c>
      <c r="AF65" s="838"/>
      <c r="AG65" s="828"/>
      <c r="AH65" s="822"/>
      <c r="AI65" s="822"/>
      <c r="AJ65" s="661" t="s">
        <v>528</v>
      </c>
      <c r="AK65" s="806"/>
      <c r="AL65" s="806"/>
      <c r="AM65" s="806"/>
      <c r="AN65" s="806"/>
      <c r="AO65" s="806"/>
      <c r="AP65" s="806"/>
      <c r="AQ65" s="806"/>
      <c r="AR65" s="806"/>
      <c r="AS65" s="806"/>
      <c r="AT65" s="806"/>
      <c r="AU65" s="806"/>
      <c r="AV65" s="806"/>
      <c r="AW65" s="806"/>
      <c r="AX65" s="806"/>
      <c r="AY65" s="584"/>
    </row>
    <row r="66" spans="1:51" ht="28.9" customHeight="1" x14ac:dyDescent="0.25">
      <c r="A66" s="828"/>
      <c r="B66" s="822"/>
      <c r="C66" s="822"/>
      <c r="D66" s="579" t="s">
        <v>351</v>
      </c>
      <c r="E66" s="582"/>
      <c r="F66" s="582"/>
      <c r="G66" s="582"/>
      <c r="H66" s="582"/>
      <c r="I66" s="580"/>
      <c r="J66" s="581"/>
      <c r="K66" s="580"/>
      <c r="L66" s="580"/>
      <c r="M66" s="581"/>
      <c r="N66" s="582"/>
      <c r="O66" s="582"/>
      <c r="P66" s="580"/>
      <c r="Q66" s="580"/>
      <c r="R66" s="580"/>
      <c r="S66" s="580"/>
      <c r="T66" s="575"/>
      <c r="U66" s="580">
        <v>0</v>
      </c>
      <c r="V66" s="580">
        <v>0</v>
      </c>
      <c r="W66" s="581">
        <v>0</v>
      </c>
      <c r="X66" s="580">
        <v>0</v>
      </c>
      <c r="Y66" s="580">
        <v>0</v>
      </c>
      <c r="Z66" s="581">
        <f t="shared" si="14"/>
        <v>0</v>
      </c>
      <c r="AA66" s="580">
        <f t="shared" si="14"/>
        <v>0</v>
      </c>
      <c r="AB66" s="580">
        <f t="shared" si="14"/>
        <v>0</v>
      </c>
      <c r="AC66" s="580">
        <f t="shared" si="14"/>
        <v>0</v>
      </c>
      <c r="AD66" s="580">
        <f t="shared" si="14"/>
        <v>0</v>
      </c>
      <c r="AE66" s="580">
        <f t="shared" si="14"/>
        <v>0</v>
      </c>
      <c r="AF66" s="838"/>
      <c r="AG66" s="828"/>
      <c r="AH66" s="822"/>
      <c r="AI66" s="822"/>
      <c r="AJ66" s="657" t="s">
        <v>502</v>
      </c>
      <c r="AK66" s="806"/>
      <c r="AL66" s="806"/>
      <c r="AM66" s="806"/>
      <c r="AN66" s="806"/>
      <c r="AO66" s="806"/>
      <c r="AP66" s="806"/>
      <c r="AQ66" s="806"/>
      <c r="AR66" s="806"/>
      <c r="AS66" s="806"/>
      <c r="AT66" s="806"/>
      <c r="AU66" s="806"/>
      <c r="AV66" s="806"/>
      <c r="AW66" s="806"/>
      <c r="AX66" s="806"/>
      <c r="AY66" s="584"/>
    </row>
    <row r="67" spans="1:51" ht="30.6" customHeight="1" x14ac:dyDescent="0.25">
      <c r="A67" s="828"/>
      <c r="B67" s="822"/>
      <c r="C67" s="822"/>
      <c r="D67" s="578" t="s">
        <v>352</v>
      </c>
      <c r="E67" s="582"/>
      <c r="F67" s="582"/>
      <c r="G67" s="582"/>
      <c r="H67" s="583">
        <v>6088333.7142857146</v>
      </c>
      <c r="I67" s="575">
        <v>6530118.4117647056</v>
      </c>
      <c r="J67" s="575">
        <v>8720535.2352941185</v>
      </c>
      <c r="K67" s="575">
        <v>11096790.529411765</v>
      </c>
      <c r="L67" s="575">
        <v>13665398.388888888</v>
      </c>
      <c r="M67" s="575">
        <v>13665398.388888888</v>
      </c>
      <c r="N67" s="583">
        <v>13665398.388888888</v>
      </c>
      <c r="O67" s="583">
        <v>13665398.388888888</v>
      </c>
      <c r="P67" s="575">
        <v>12948133.842105264</v>
      </c>
      <c r="Q67" s="575">
        <v>12948133.842105264</v>
      </c>
      <c r="R67" s="575">
        <v>12948133.842105264</v>
      </c>
      <c r="S67" s="575"/>
      <c r="T67" s="575"/>
      <c r="U67" s="580">
        <v>6088333.7142857146</v>
      </c>
      <c r="V67" s="580">
        <v>6530118.4117647056</v>
      </c>
      <c r="W67" s="581">
        <v>8720535.2352941185</v>
      </c>
      <c r="X67" s="580">
        <v>11096790.529411765</v>
      </c>
      <c r="Y67" s="580">
        <v>13665398.388888888</v>
      </c>
      <c r="Z67" s="574">
        <f t="shared" si="14"/>
        <v>13665398.388888888</v>
      </c>
      <c r="AA67" s="580">
        <f t="shared" si="14"/>
        <v>13665398.388888888</v>
      </c>
      <c r="AB67" s="580">
        <f t="shared" si="14"/>
        <v>13665398.388888888</v>
      </c>
      <c r="AC67" s="580">
        <f t="shared" si="14"/>
        <v>12948133.842105264</v>
      </c>
      <c r="AD67" s="580">
        <f t="shared" si="14"/>
        <v>12948133.842105264</v>
      </c>
      <c r="AE67" s="575">
        <f t="shared" si="14"/>
        <v>12948133.842105264</v>
      </c>
      <c r="AF67" s="838"/>
      <c r="AG67" s="828"/>
      <c r="AH67" s="822"/>
      <c r="AI67" s="822"/>
      <c r="AJ67" s="661" t="s">
        <v>503</v>
      </c>
      <c r="AK67" s="806"/>
      <c r="AL67" s="806"/>
      <c r="AM67" s="806"/>
      <c r="AN67" s="806"/>
      <c r="AO67" s="806"/>
      <c r="AP67" s="806"/>
      <c r="AQ67" s="806"/>
      <c r="AR67" s="806"/>
      <c r="AS67" s="806"/>
      <c r="AT67" s="806"/>
      <c r="AU67" s="806"/>
      <c r="AV67" s="806"/>
      <c r="AW67" s="806"/>
      <c r="AX67" s="806"/>
      <c r="AY67" s="584"/>
    </row>
    <row r="68" spans="1:51" ht="72" customHeight="1" x14ac:dyDescent="0.25">
      <c r="A68" s="828"/>
      <c r="B68" s="822"/>
      <c r="C68" s="822"/>
      <c r="D68" s="579" t="s">
        <v>353</v>
      </c>
      <c r="E68" s="582"/>
      <c r="F68" s="582"/>
      <c r="G68" s="582"/>
      <c r="H68" s="582">
        <v>2</v>
      </c>
      <c r="I68" s="580">
        <v>4</v>
      </c>
      <c r="J68" s="581">
        <v>4</v>
      </c>
      <c r="K68" s="580">
        <v>5</v>
      </c>
      <c r="L68" s="580">
        <v>5</v>
      </c>
      <c r="M68" s="581">
        <v>6</v>
      </c>
      <c r="N68" s="582">
        <v>8</v>
      </c>
      <c r="O68" s="582">
        <v>8</v>
      </c>
      <c r="P68" s="580">
        <v>9</v>
      </c>
      <c r="Q68" s="580">
        <v>10</v>
      </c>
      <c r="R68" s="580">
        <v>10</v>
      </c>
      <c r="S68" s="580"/>
      <c r="T68" s="575"/>
      <c r="U68" s="580">
        <v>2</v>
      </c>
      <c r="V68" s="580">
        <v>4</v>
      </c>
      <c r="W68" s="581">
        <v>4</v>
      </c>
      <c r="X68" s="580">
        <v>5</v>
      </c>
      <c r="Y68" s="580">
        <v>5</v>
      </c>
      <c r="Z68" s="581">
        <f t="shared" si="14"/>
        <v>6</v>
      </c>
      <c r="AA68" s="580">
        <f t="shared" si="14"/>
        <v>8</v>
      </c>
      <c r="AB68" s="580">
        <f t="shared" si="14"/>
        <v>8</v>
      </c>
      <c r="AC68" s="580">
        <f t="shared" si="14"/>
        <v>9</v>
      </c>
      <c r="AD68" s="580">
        <f t="shared" si="14"/>
        <v>10</v>
      </c>
      <c r="AE68" s="580">
        <f t="shared" si="14"/>
        <v>10</v>
      </c>
      <c r="AF68" s="838"/>
      <c r="AG68" s="828"/>
      <c r="AH68" s="822"/>
      <c r="AI68" s="822"/>
      <c r="AJ68" s="658" t="s">
        <v>504</v>
      </c>
      <c r="AK68" s="806"/>
      <c r="AL68" s="806"/>
      <c r="AM68" s="806"/>
      <c r="AN68" s="806"/>
      <c r="AO68" s="806"/>
      <c r="AP68" s="806"/>
      <c r="AQ68" s="806"/>
      <c r="AR68" s="806"/>
      <c r="AS68" s="806"/>
      <c r="AT68" s="806"/>
      <c r="AU68" s="806"/>
      <c r="AV68" s="806"/>
      <c r="AW68" s="806"/>
      <c r="AX68" s="806"/>
      <c r="AY68" s="584"/>
    </row>
    <row r="69" spans="1:51" ht="28.9" customHeight="1" x14ac:dyDescent="0.25">
      <c r="A69" s="828"/>
      <c r="B69" s="822"/>
      <c r="C69" s="823"/>
      <c r="D69" s="578" t="s">
        <v>354</v>
      </c>
      <c r="E69" s="582"/>
      <c r="F69" s="582"/>
      <c r="G69" s="582"/>
      <c r="H69" s="582">
        <v>75887879.16883117</v>
      </c>
      <c r="I69" s="580">
        <v>83309618.411764711</v>
      </c>
      <c r="J69" s="580">
        <v>62600886.1124871</v>
      </c>
      <c r="K69" s="580">
        <v>62283123.862745099</v>
      </c>
      <c r="L69" s="580">
        <v>55790613.44265233</v>
      </c>
      <c r="M69" s="580">
        <f t="shared" ref="M69:R69" si="17">+M65+M67</f>
        <v>56018317.307807811</v>
      </c>
      <c r="N69" s="582">
        <f t="shared" si="17"/>
        <v>62256344.125322998</v>
      </c>
      <c r="O69" s="582">
        <f t="shared" si="17"/>
        <v>57855275.939909294</v>
      </c>
      <c r="P69" s="580">
        <f t="shared" si="17"/>
        <v>57238442.933014356</v>
      </c>
      <c r="Q69" s="580">
        <f t="shared" si="17"/>
        <v>59347505.270676687</v>
      </c>
      <c r="R69" s="580">
        <f t="shared" si="17"/>
        <v>58884299.625889048</v>
      </c>
      <c r="S69" s="580"/>
      <c r="T69" s="575"/>
      <c r="U69" s="580">
        <v>75887879.16883117</v>
      </c>
      <c r="V69" s="580">
        <v>83309618.411764711</v>
      </c>
      <c r="W69" s="581">
        <v>62600886.1124871</v>
      </c>
      <c r="X69" s="580">
        <v>62283123.862745099</v>
      </c>
      <c r="Y69" s="580">
        <v>55790613.44265233</v>
      </c>
      <c r="Z69" s="580">
        <f t="shared" si="14"/>
        <v>56018317.307807811</v>
      </c>
      <c r="AA69" s="580">
        <f t="shared" si="14"/>
        <v>62256344.125322998</v>
      </c>
      <c r="AB69" s="580">
        <f t="shared" si="14"/>
        <v>57855275.939909294</v>
      </c>
      <c r="AC69" s="580">
        <f t="shared" si="14"/>
        <v>57238442.933014356</v>
      </c>
      <c r="AD69" s="580">
        <f t="shared" si="14"/>
        <v>59347505.270676687</v>
      </c>
      <c r="AE69" s="580">
        <f t="shared" si="14"/>
        <v>58884299.625889048</v>
      </c>
      <c r="AF69" s="838"/>
      <c r="AG69" s="829"/>
      <c r="AH69" s="823"/>
      <c r="AI69" s="823"/>
      <c r="AJ69" s="659" t="s">
        <v>505</v>
      </c>
      <c r="AK69" s="807"/>
      <c r="AL69" s="807"/>
      <c r="AM69" s="807"/>
      <c r="AN69" s="807"/>
      <c r="AO69" s="807"/>
      <c r="AP69" s="807"/>
      <c r="AQ69" s="807"/>
      <c r="AR69" s="807"/>
      <c r="AS69" s="807"/>
      <c r="AT69" s="807"/>
      <c r="AU69" s="807"/>
      <c r="AV69" s="807"/>
      <c r="AW69" s="807"/>
      <c r="AX69" s="807"/>
      <c r="AY69" s="584"/>
    </row>
    <row r="70" spans="1:51" ht="22.9" customHeight="1" x14ac:dyDescent="0.25">
      <c r="A70" s="828"/>
      <c r="B70" s="822"/>
      <c r="C70" s="821" t="s">
        <v>551</v>
      </c>
      <c r="D70" s="572" t="s">
        <v>345</v>
      </c>
      <c r="E70" s="582"/>
      <c r="F70" s="582"/>
      <c r="G70" s="582"/>
      <c r="H70" s="582">
        <v>2</v>
      </c>
      <c r="I70" s="580">
        <v>4</v>
      </c>
      <c r="J70" s="580">
        <v>9</v>
      </c>
      <c r="K70" s="580">
        <v>14</v>
      </c>
      <c r="L70" s="580">
        <v>17</v>
      </c>
      <c r="M70" s="581">
        <v>19</v>
      </c>
      <c r="N70" s="582">
        <v>20</v>
      </c>
      <c r="O70" s="582">
        <v>21</v>
      </c>
      <c r="P70" s="580">
        <v>22</v>
      </c>
      <c r="Q70" s="580">
        <v>23</v>
      </c>
      <c r="R70" s="580">
        <v>24</v>
      </c>
      <c r="S70" s="580"/>
      <c r="T70" s="575"/>
      <c r="U70" s="580">
        <v>2</v>
      </c>
      <c r="V70" s="580">
        <v>4</v>
      </c>
      <c r="W70" s="581">
        <v>9</v>
      </c>
      <c r="X70" s="580">
        <v>14</v>
      </c>
      <c r="Y70" s="580">
        <v>17</v>
      </c>
      <c r="Z70" s="581">
        <f t="shared" ref="Z70:AE85" si="18">+M70</f>
        <v>19</v>
      </c>
      <c r="AA70" s="580">
        <f t="shared" si="18"/>
        <v>20</v>
      </c>
      <c r="AB70" s="580">
        <f t="shared" si="18"/>
        <v>21</v>
      </c>
      <c r="AC70" s="580">
        <f t="shared" si="18"/>
        <v>22</v>
      </c>
      <c r="AD70" s="580">
        <f t="shared" si="18"/>
        <v>23</v>
      </c>
      <c r="AE70" s="580">
        <f t="shared" si="18"/>
        <v>24</v>
      </c>
      <c r="AF70" s="899" t="s">
        <v>552</v>
      </c>
      <c r="AG70" s="890" t="s">
        <v>551</v>
      </c>
      <c r="AH70" s="824" t="s">
        <v>553</v>
      </c>
      <c r="AI70" s="824" t="s">
        <v>554</v>
      </c>
      <c r="AJ70" s="656" t="s">
        <v>499</v>
      </c>
      <c r="AK70" s="826" t="s">
        <v>490</v>
      </c>
      <c r="AL70" s="826" t="s">
        <v>178</v>
      </c>
      <c r="AM70" s="826" t="s">
        <v>491</v>
      </c>
      <c r="AN70" s="585">
        <v>404252</v>
      </c>
      <c r="AO70" s="861">
        <v>188605</v>
      </c>
      <c r="AP70" s="861">
        <v>215647</v>
      </c>
      <c r="AQ70" s="840" t="s">
        <v>492</v>
      </c>
      <c r="AR70" s="840" t="s">
        <v>492</v>
      </c>
      <c r="AS70" s="840" t="s">
        <v>492</v>
      </c>
      <c r="AT70" s="840" t="s">
        <v>492</v>
      </c>
      <c r="AU70" s="833" t="s">
        <v>492</v>
      </c>
      <c r="AV70" s="833" t="s">
        <v>492</v>
      </c>
      <c r="AW70" s="833" t="s">
        <v>492</v>
      </c>
      <c r="AX70" s="861">
        <v>404252</v>
      </c>
      <c r="AY70" s="584"/>
    </row>
    <row r="71" spans="1:51" ht="20.45" customHeight="1" x14ac:dyDescent="0.25">
      <c r="A71" s="828"/>
      <c r="B71" s="822"/>
      <c r="C71" s="822"/>
      <c r="D71" s="578" t="s">
        <v>349</v>
      </c>
      <c r="E71" s="582"/>
      <c r="F71" s="582"/>
      <c r="G71" s="582"/>
      <c r="H71" s="582">
        <v>69799545.454545453</v>
      </c>
      <c r="I71" s="580">
        <v>76779500</v>
      </c>
      <c r="J71" s="580">
        <v>121230789.47368421</v>
      </c>
      <c r="K71" s="580">
        <v>143321733.33333334</v>
      </c>
      <c r="L71" s="580">
        <v>143225731.1827957</v>
      </c>
      <c r="M71" s="580">
        <f>+M70*$Z$11/$Z$10</f>
        <v>134117576.57657658</v>
      </c>
      <c r="N71" s="582">
        <f>+N70*$AA$11/$AA$10</f>
        <v>121477364.34108527</v>
      </c>
      <c r="O71" s="582">
        <f>+O70*$AB$11/$AB$10</f>
        <v>115998428.57142857</v>
      </c>
      <c r="P71" s="580">
        <f>+P70*$AC$11/$AC$10</f>
        <v>108265200</v>
      </c>
      <c r="Q71" s="580">
        <f>+Q70*$AD$11/$AD$10</f>
        <v>106718554.28571428</v>
      </c>
      <c r="R71" s="580">
        <f>+R70*$AE$11/$AE$10</f>
        <v>110246797.88108107</v>
      </c>
      <c r="S71" s="580"/>
      <c r="T71" s="575"/>
      <c r="U71" s="580">
        <v>69799545.454545453</v>
      </c>
      <c r="V71" s="580">
        <v>76779500</v>
      </c>
      <c r="W71" s="581">
        <v>121230789.47368421</v>
      </c>
      <c r="X71" s="580">
        <v>143321733.33333334</v>
      </c>
      <c r="Y71" s="580">
        <v>143225731.1827957</v>
      </c>
      <c r="Z71" s="580">
        <f t="shared" si="18"/>
        <v>134117576.57657658</v>
      </c>
      <c r="AA71" s="580">
        <f t="shared" si="18"/>
        <v>121477364.34108527</v>
      </c>
      <c r="AB71" s="580">
        <f t="shared" si="18"/>
        <v>115998428.57142857</v>
      </c>
      <c r="AC71" s="580">
        <f t="shared" si="18"/>
        <v>108265200</v>
      </c>
      <c r="AD71" s="580">
        <f t="shared" si="18"/>
        <v>106718554.28571428</v>
      </c>
      <c r="AE71" s="580">
        <f t="shared" si="18"/>
        <v>110246797.88108107</v>
      </c>
      <c r="AF71" s="838"/>
      <c r="AG71" s="828"/>
      <c r="AH71" s="822"/>
      <c r="AI71" s="822"/>
      <c r="AJ71" s="661" t="s">
        <v>528</v>
      </c>
      <c r="AK71" s="806"/>
      <c r="AL71" s="806"/>
      <c r="AM71" s="806"/>
      <c r="AN71" s="585">
        <v>404252</v>
      </c>
      <c r="AO71" s="806"/>
      <c r="AP71" s="806"/>
      <c r="AQ71" s="806"/>
      <c r="AR71" s="806"/>
      <c r="AS71" s="806"/>
      <c r="AT71" s="806"/>
      <c r="AU71" s="806"/>
      <c r="AV71" s="806"/>
      <c r="AW71" s="806"/>
      <c r="AX71" s="806"/>
      <c r="AY71" s="584"/>
    </row>
    <row r="72" spans="1:51" ht="28.9" customHeight="1" x14ac:dyDescent="0.25">
      <c r="A72" s="828"/>
      <c r="B72" s="822"/>
      <c r="C72" s="822"/>
      <c r="D72" s="579" t="s">
        <v>351</v>
      </c>
      <c r="E72" s="582"/>
      <c r="F72" s="582"/>
      <c r="G72" s="582"/>
      <c r="H72" s="582"/>
      <c r="I72" s="580"/>
      <c r="J72" s="581"/>
      <c r="K72" s="580"/>
      <c r="L72" s="580"/>
      <c r="M72" s="581"/>
      <c r="N72" s="582"/>
      <c r="O72" s="582"/>
      <c r="P72" s="580"/>
      <c r="Q72" s="580"/>
      <c r="R72" s="580"/>
      <c r="S72" s="580"/>
      <c r="T72" s="575"/>
      <c r="U72" s="580">
        <v>0</v>
      </c>
      <c r="V72" s="580">
        <v>0</v>
      </c>
      <c r="W72" s="581">
        <v>0</v>
      </c>
      <c r="X72" s="580">
        <v>0</v>
      </c>
      <c r="Y72" s="580">
        <v>0</v>
      </c>
      <c r="Z72" s="581">
        <f t="shared" si="18"/>
        <v>0</v>
      </c>
      <c r="AA72" s="580">
        <f t="shared" si="18"/>
        <v>0</v>
      </c>
      <c r="AB72" s="580">
        <f t="shared" si="18"/>
        <v>0</v>
      </c>
      <c r="AC72" s="580">
        <f t="shared" si="18"/>
        <v>0</v>
      </c>
      <c r="AD72" s="580">
        <f t="shared" si="18"/>
        <v>0</v>
      </c>
      <c r="AE72" s="580">
        <f t="shared" si="18"/>
        <v>0</v>
      </c>
      <c r="AF72" s="838"/>
      <c r="AG72" s="828"/>
      <c r="AH72" s="822"/>
      <c r="AI72" s="822"/>
      <c r="AJ72" s="657" t="s">
        <v>502</v>
      </c>
      <c r="AK72" s="806"/>
      <c r="AL72" s="806"/>
      <c r="AM72" s="806"/>
      <c r="AN72" s="585">
        <v>404252</v>
      </c>
      <c r="AO72" s="806"/>
      <c r="AP72" s="806"/>
      <c r="AQ72" s="806"/>
      <c r="AR72" s="806"/>
      <c r="AS72" s="806"/>
      <c r="AT72" s="806"/>
      <c r="AU72" s="806"/>
      <c r="AV72" s="806"/>
      <c r="AW72" s="806"/>
      <c r="AX72" s="806"/>
      <c r="AY72" s="584"/>
    </row>
    <row r="73" spans="1:51" ht="30.6" customHeight="1" x14ac:dyDescent="0.25">
      <c r="A73" s="828"/>
      <c r="B73" s="822"/>
      <c r="C73" s="822"/>
      <c r="D73" s="578" t="s">
        <v>352</v>
      </c>
      <c r="E73" s="582"/>
      <c r="F73" s="582"/>
      <c r="G73" s="582"/>
      <c r="H73" s="583">
        <v>6088333.7142857146</v>
      </c>
      <c r="I73" s="575">
        <v>6530118.4117647056</v>
      </c>
      <c r="J73" s="575">
        <v>8720535.2352941185</v>
      </c>
      <c r="K73" s="575">
        <v>11096790.529411765</v>
      </c>
      <c r="L73" s="575">
        <v>13665398.388888888</v>
      </c>
      <c r="M73" s="575">
        <v>13665398.388888888</v>
      </c>
      <c r="N73" s="583">
        <v>13665398.388888888</v>
      </c>
      <c r="O73" s="583">
        <v>13665398.388888888</v>
      </c>
      <c r="P73" s="575">
        <v>12948133.842105264</v>
      </c>
      <c r="Q73" s="575">
        <v>12948133.842105264</v>
      </c>
      <c r="R73" s="575">
        <v>12948133.842105264</v>
      </c>
      <c r="S73" s="575"/>
      <c r="T73" s="575"/>
      <c r="U73" s="580">
        <v>6088333.7142857146</v>
      </c>
      <c r="V73" s="580">
        <v>6530118.4117647056</v>
      </c>
      <c r="W73" s="581">
        <v>8720535.2352941185</v>
      </c>
      <c r="X73" s="580">
        <v>11096790.529411765</v>
      </c>
      <c r="Y73" s="580">
        <v>13665398.388888888</v>
      </c>
      <c r="Z73" s="574">
        <f t="shared" si="18"/>
        <v>13665398.388888888</v>
      </c>
      <c r="AA73" s="580">
        <f t="shared" si="18"/>
        <v>13665398.388888888</v>
      </c>
      <c r="AB73" s="580">
        <f t="shared" si="18"/>
        <v>13665398.388888888</v>
      </c>
      <c r="AC73" s="580">
        <f t="shared" si="18"/>
        <v>12948133.842105264</v>
      </c>
      <c r="AD73" s="580">
        <f t="shared" si="18"/>
        <v>12948133.842105264</v>
      </c>
      <c r="AE73" s="575">
        <f t="shared" si="18"/>
        <v>12948133.842105264</v>
      </c>
      <c r="AF73" s="838"/>
      <c r="AG73" s="828"/>
      <c r="AH73" s="822"/>
      <c r="AI73" s="822"/>
      <c r="AJ73" s="661" t="s">
        <v>503</v>
      </c>
      <c r="AK73" s="806"/>
      <c r="AL73" s="806"/>
      <c r="AM73" s="806"/>
      <c r="AN73" s="585">
        <v>404252</v>
      </c>
      <c r="AO73" s="806"/>
      <c r="AP73" s="806"/>
      <c r="AQ73" s="806"/>
      <c r="AR73" s="806"/>
      <c r="AS73" s="806"/>
      <c r="AT73" s="806"/>
      <c r="AU73" s="806"/>
      <c r="AV73" s="806"/>
      <c r="AW73" s="806"/>
      <c r="AX73" s="806"/>
      <c r="AY73" s="584"/>
    </row>
    <row r="74" spans="1:51" ht="72" customHeight="1" x14ac:dyDescent="0.25">
      <c r="A74" s="828"/>
      <c r="B74" s="822"/>
      <c r="C74" s="822"/>
      <c r="D74" s="579" t="s">
        <v>353</v>
      </c>
      <c r="E74" s="582"/>
      <c r="F74" s="582"/>
      <c r="G74" s="582"/>
      <c r="H74" s="582">
        <v>2</v>
      </c>
      <c r="I74" s="580">
        <v>4</v>
      </c>
      <c r="J74" s="581">
        <v>9</v>
      </c>
      <c r="K74" s="580">
        <v>14</v>
      </c>
      <c r="L74" s="580">
        <v>17</v>
      </c>
      <c r="M74" s="581">
        <v>19</v>
      </c>
      <c r="N74" s="582">
        <v>20</v>
      </c>
      <c r="O74" s="582">
        <v>21</v>
      </c>
      <c r="P74" s="580">
        <v>22</v>
      </c>
      <c r="Q74" s="580">
        <v>23</v>
      </c>
      <c r="R74" s="580">
        <v>24</v>
      </c>
      <c r="S74" s="580"/>
      <c r="T74" s="575"/>
      <c r="U74" s="580">
        <v>2</v>
      </c>
      <c r="V74" s="580">
        <v>4</v>
      </c>
      <c r="W74" s="581">
        <v>9</v>
      </c>
      <c r="X74" s="580">
        <v>14</v>
      </c>
      <c r="Y74" s="580">
        <v>17</v>
      </c>
      <c r="Z74" s="581">
        <f t="shared" si="18"/>
        <v>19</v>
      </c>
      <c r="AA74" s="580">
        <f t="shared" si="18"/>
        <v>20</v>
      </c>
      <c r="AB74" s="580">
        <f t="shared" si="18"/>
        <v>21</v>
      </c>
      <c r="AC74" s="580">
        <f t="shared" si="18"/>
        <v>22</v>
      </c>
      <c r="AD74" s="580">
        <f t="shared" si="18"/>
        <v>23</v>
      </c>
      <c r="AE74" s="580">
        <f t="shared" si="18"/>
        <v>24</v>
      </c>
      <c r="AF74" s="838"/>
      <c r="AG74" s="828"/>
      <c r="AH74" s="822"/>
      <c r="AI74" s="822"/>
      <c r="AJ74" s="658" t="s">
        <v>504</v>
      </c>
      <c r="AK74" s="806"/>
      <c r="AL74" s="806"/>
      <c r="AM74" s="806"/>
      <c r="AN74" s="585">
        <v>404252</v>
      </c>
      <c r="AO74" s="806"/>
      <c r="AP74" s="806"/>
      <c r="AQ74" s="806"/>
      <c r="AR74" s="806"/>
      <c r="AS74" s="806"/>
      <c r="AT74" s="806"/>
      <c r="AU74" s="806"/>
      <c r="AV74" s="806"/>
      <c r="AW74" s="806"/>
      <c r="AX74" s="806"/>
      <c r="AY74" s="584"/>
    </row>
    <row r="75" spans="1:51" ht="28.9" customHeight="1" x14ac:dyDescent="0.25">
      <c r="A75" s="828"/>
      <c r="B75" s="822"/>
      <c r="C75" s="823"/>
      <c r="D75" s="578" t="s">
        <v>354</v>
      </c>
      <c r="E75" s="582"/>
      <c r="F75" s="582"/>
      <c r="G75" s="582"/>
      <c r="H75" s="582">
        <v>75887879.16883117</v>
      </c>
      <c r="I75" s="580">
        <v>83309618.411764711</v>
      </c>
      <c r="J75" s="580">
        <v>129951324.70897833</v>
      </c>
      <c r="K75" s="580">
        <v>154418523.86274511</v>
      </c>
      <c r="L75" s="580">
        <v>156891129.5716846</v>
      </c>
      <c r="M75" s="580">
        <f t="shared" ref="M75:R75" si="19">+M71+M73</f>
        <v>147782974.96546546</v>
      </c>
      <c r="N75" s="582">
        <f t="shared" si="19"/>
        <v>135142762.72997415</v>
      </c>
      <c r="O75" s="582">
        <f t="shared" si="19"/>
        <v>129663826.96031746</v>
      </c>
      <c r="P75" s="580">
        <f t="shared" si="19"/>
        <v>121213333.84210527</v>
      </c>
      <c r="Q75" s="580">
        <f t="shared" si="19"/>
        <v>119666688.12781955</v>
      </c>
      <c r="R75" s="580">
        <f t="shared" si="19"/>
        <v>123194931.72318634</v>
      </c>
      <c r="S75" s="580"/>
      <c r="T75" s="575"/>
      <c r="U75" s="580">
        <v>75887879.16883117</v>
      </c>
      <c r="V75" s="580">
        <v>83309618.411764711</v>
      </c>
      <c r="W75" s="581">
        <v>129951324.70897833</v>
      </c>
      <c r="X75" s="580">
        <v>154418523.86274511</v>
      </c>
      <c r="Y75" s="580">
        <v>156891129.5716846</v>
      </c>
      <c r="Z75" s="580">
        <f t="shared" si="18"/>
        <v>147782974.96546546</v>
      </c>
      <c r="AA75" s="580">
        <f t="shared" si="18"/>
        <v>135142762.72997415</v>
      </c>
      <c r="AB75" s="580">
        <f t="shared" si="18"/>
        <v>129663826.96031746</v>
      </c>
      <c r="AC75" s="580">
        <f t="shared" si="18"/>
        <v>121213333.84210527</v>
      </c>
      <c r="AD75" s="580">
        <f t="shared" si="18"/>
        <v>119666688.12781955</v>
      </c>
      <c r="AE75" s="580">
        <f t="shared" si="18"/>
        <v>123194931.72318634</v>
      </c>
      <c r="AF75" s="838"/>
      <c r="AG75" s="829"/>
      <c r="AH75" s="823"/>
      <c r="AI75" s="823"/>
      <c r="AJ75" s="659" t="s">
        <v>505</v>
      </c>
      <c r="AK75" s="807"/>
      <c r="AL75" s="807"/>
      <c r="AM75" s="807"/>
      <c r="AN75" s="585">
        <v>404252</v>
      </c>
      <c r="AO75" s="807"/>
      <c r="AP75" s="807"/>
      <c r="AQ75" s="807"/>
      <c r="AR75" s="807"/>
      <c r="AS75" s="807"/>
      <c r="AT75" s="807"/>
      <c r="AU75" s="807"/>
      <c r="AV75" s="807"/>
      <c r="AW75" s="807"/>
      <c r="AX75" s="807"/>
      <c r="AY75" s="584"/>
    </row>
    <row r="76" spans="1:51" ht="22.9" customHeight="1" x14ac:dyDescent="0.25">
      <c r="A76" s="828"/>
      <c r="B76" s="822"/>
      <c r="C76" s="821" t="s">
        <v>555</v>
      </c>
      <c r="D76" s="572" t="s">
        <v>345</v>
      </c>
      <c r="E76" s="582"/>
      <c r="F76" s="582"/>
      <c r="G76" s="582"/>
      <c r="H76" s="582">
        <v>2</v>
      </c>
      <c r="I76" s="580">
        <v>3</v>
      </c>
      <c r="J76" s="580">
        <v>4</v>
      </c>
      <c r="K76" s="580">
        <v>4</v>
      </c>
      <c r="L76" s="580">
        <v>7</v>
      </c>
      <c r="M76" s="581">
        <v>8</v>
      </c>
      <c r="N76" s="582">
        <v>9</v>
      </c>
      <c r="O76" s="582">
        <v>10</v>
      </c>
      <c r="P76" s="580">
        <v>10</v>
      </c>
      <c r="Q76" s="580">
        <v>11</v>
      </c>
      <c r="R76" s="580">
        <v>12</v>
      </c>
      <c r="S76" s="580"/>
      <c r="T76" s="575"/>
      <c r="U76" s="580">
        <v>2</v>
      </c>
      <c r="V76" s="580">
        <v>3</v>
      </c>
      <c r="W76" s="581">
        <v>4</v>
      </c>
      <c r="X76" s="580">
        <v>4</v>
      </c>
      <c r="Y76" s="580">
        <v>7</v>
      </c>
      <c r="Z76" s="581">
        <f t="shared" si="18"/>
        <v>8</v>
      </c>
      <c r="AA76" s="580">
        <f t="shared" si="18"/>
        <v>9</v>
      </c>
      <c r="AB76" s="580">
        <f t="shared" si="18"/>
        <v>10</v>
      </c>
      <c r="AC76" s="580">
        <f t="shared" si="18"/>
        <v>10</v>
      </c>
      <c r="AD76" s="580">
        <f t="shared" si="18"/>
        <v>11</v>
      </c>
      <c r="AE76" s="580">
        <f t="shared" si="18"/>
        <v>12</v>
      </c>
      <c r="AF76" s="899" t="s">
        <v>556</v>
      </c>
      <c r="AG76" s="890" t="s">
        <v>557</v>
      </c>
      <c r="AH76" s="824" t="s">
        <v>558</v>
      </c>
      <c r="AI76" s="824" t="s">
        <v>559</v>
      </c>
      <c r="AJ76" s="656" t="s">
        <v>499</v>
      </c>
      <c r="AK76" s="826" t="s">
        <v>490</v>
      </c>
      <c r="AL76" s="826" t="s">
        <v>560</v>
      </c>
      <c r="AM76" s="826" t="s">
        <v>491</v>
      </c>
      <c r="AN76" s="861">
        <v>817019</v>
      </c>
      <c r="AO76" s="861">
        <v>387428</v>
      </c>
      <c r="AP76" s="861">
        <v>429591</v>
      </c>
      <c r="AQ76" s="840" t="s">
        <v>492</v>
      </c>
      <c r="AR76" s="840" t="s">
        <v>492</v>
      </c>
      <c r="AS76" s="840" t="s">
        <v>492</v>
      </c>
      <c r="AT76" s="840" t="s">
        <v>492</v>
      </c>
      <c r="AU76" s="833" t="s">
        <v>492</v>
      </c>
      <c r="AV76" s="833" t="s">
        <v>492</v>
      </c>
      <c r="AW76" s="833" t="s">
        <v>492</v>
      </c>
      <c r="AX76" s="861">
        <v>817019</v>
      </c>
      <c r="AY76" s="584"/>
    </row>
    <row r="77" spans="1:51" ht="20.45" customHeight="1" x14ac:dyDescent="0.25">
      <c r="A77" s="828"/>
      <c r="B77" s="822"/>
      <c r="C77" s="822"/>
      <c r="D77" s="578" t="s">
        <v>349</v>
      </c>
      <c r="E77" s="582"/>
      <c r="F77" s="582"/>
      <c r="G77" s="582"/>
      <c r="H77" s="582">
        <v>69799545.454545453</v>
      </c>
      <c r="I77" s="580">
        <v>57584625</v>
      </c>
      <c r="J77" s="580">
        <v>53880350.877192982</v>
      </c>
      <c r="K77" s="580">
        <v>40949066.666666664</v>
      </c>
      <c r="L77" s="580">
        <v>58975301.07526882</v>
      </c>
      <c r="M77" s="580">
        <f>+M76*$Z$11/$Z$10</f>
        <v>56470558.558558561</v>
      </c>
      <c r="N77" s="582">
        <f>+N76*$AA$11/$AA$10</f>
        <v>54664813.953488372</v>
      </c>
      <c r="O77" s="582">
        <f>+O76*$AB$11/$AB$10</f>
        <v>55237346.93877551</v>
      </c>
      <c r="P77" s="580">
        <f>+P76*$AC$11/$AC$10</f>
        <v>49211454.545454547</v>
      </c>
      <c r="Q77" s="580">
        <f>+Q76*$AD$11/$AD$10</f>
        <v>51039308.571428575</v>
      </c>
      <c r="R77" s="580">
        <f>+R76*$AE$11/$AE$10</f>
        <v>55123398.940540537</v>
      </c>
      <c r="S77" s="580"/>
      <c r="T77" s="575"/>
      <c r="U77" s="580">
        <v>69799545.454545453</v>
      </c>
      <c r="V77" s="580">
        <v>57584625</v>
      </c>
      <c r="W77" s="581">
        <v>53880350.877192982</v>
      </c>
      <c r="X77" s="580">
        <v>40949066.666666664</v>
      </c>
      <c r="Y77" s="580">
        <v>58975301.07526882</v>
      </c>
      <c r="Z77" s="580">
        <f t="shared" si="18"/>
        <v>56470558.558558561</v>
      </c>
      <c r="AA77" s="580">
        <f t="shared" si="18"/>
        <v>54664813.953488372</v>
      </c>
      <c r="AB77" s="580">
        <f t="shared" si="18"/>
        <v>55237346.93877551</v>
      </c>
      <c r="AC77" s="580">
        <f t="shared" si="18"/>
        <v>49211454.545454547</v>
      </c>
      <c r="AD77" s="580">
        <f t="shared" si="18"/>
        <v>51039308.571428575</v>
      </c>
      <c r="AE77" s="580">
        <f t="shared" si="18"/>
        <v>55123398.940540537</v>
      </c>
      <c r="AF77" s="838"/>
      <c r="AG77" s="828"/>
      <c r="AH77" s="822"/>
      <c r="AI77" s="822"/>
      <c r="AJ77" s="661" t="s">
        <v>528</v>
      </c>
      <c r="AK77" s="806"/>
      <c r="AL77" s="806"/>
      <c r="AM77" s="806"/>
      <c r="AN77" s="806"/>
      <c r="AO77" s="806"/>
      <c r="AP77" s="806"/>
      <c r="AQ77" s="806"/>
      <c r="AR77" s="806"/>
      <c r="AS77" s="806"/>
      <c r="AT77" s="806"/>
      <c r="AU77" s="806"/>
      <c r="AV77" s="806"/>
      <c r="AW77" s="806"/>
      <c r="AX77" s="806"/>
      <c r="AY77" s="584"/>
    </row>
    <row r="78" spans="1:51" ht="28.9" customHeight="1" x14ac:dyDescent="0.25">
      <c r="A78" s="828"/>
      <c r="B78" s="822"/>
      <c r="C78" s="822"/>
      <c r="D78" s="579" t="s">
        <v>351</v>
      </c>
      <c r="E78" s="582"/>
      <c r="F78" s="582"/>
      <c r="G78" s="582"/>
      <c r="H78" s="582"/>
      <c r="I78" s="580"/>
      <c r="J78" s="581"/>
      <c r="K78" s="580"/>
      <c r="L78" s="580"/>
      <c r="M78" s="581"/>
      <c r="N78" s="582"/>
      <c r="O78" s="582"/>
      <c r="P78" s="580"/>
      <c r="Q78" s="580"/>
      <c r="R78" s="580"/>
      <c r="S78" s="580"/>
      <c r="T78" s="575"/>
      <c r="U78" s="580">
        <v>0</v>
      </c>
      <c r="V78" s="580">
        <v>0</v>
      </c>
      <c r="W78" s="581">
        <v>0</v>
      </c>
      <c r="X78" s="580">
        <v>0</v>
      </c>
      <c r="Y78" s="580">
        <v>0</v>
      </c>
      <c r="Z78" s="581">
        <f t="shared" si="18"/>
        <v>0</v>
      </c>
      <c r="AA78" s="580">
        <f t="shared" si="18"/>
        <v>0</v>
      </c>
      <c r="AB78" s="580">
        <f t="shared" si="18"/>
        <v>0</v>
      </c>
      <c r="AC78" s="580">
        <f t="shared" si="18"/>
        <v>0</v>
      </c>
      <c r="AD78" s="580">
        <f t="shared" si="18"/>
        <v>0</v>
      </c>
      <c r="AE78" s="580">
        <f t="shared" si="18"/>
        <v>0</v>
      </c>
      <c r="AF78" s="838"/>
      <c r="AG78" s="828"/>
      <c r="AH78" s="822"/>
      <c r="AI78" s="822"/>
      <c r="AJ78" s="657" t="s">
        <v>502</v>
      </c>
      <c r="AK78" s="806"/>
      <c r="AL78" s="806"/>
      <c r="AM78" s="806"/>
      <c r="AN78" s="806"/>
      <c r="AO78" s="806"/>
      <c r="AP78" s="806"/>
      <c r="AQ78" s="806"/>
      <c r="AR78" s="806"/>
      <c r="AS78" s="806"/>
      <c r="AT78" s="806"/>
      <c r="AU78" s="806"/>
      <c r="AV78" s="806"/>
      <c r="AW78" s="806"/>
      <c r="AX78" s="806"/>
      <c r="AY78" s="584"/>
    </row>
    <row r="79" spans="1:51" ht="30.6" customHeight="1" x14ac:dyDescent="0.25">
      <c r="A79" s="828"/>
      <c r="B79" s="822"/>
      <c r="C79" s="822"/>
      <c r="D79" s="578" t="s">
        <v>352</v>
      </c>
      <c r="E79" s="582"/>
      <c r="F79" s="582"/>
      <c r="G79" s="582"/>
      <c r="H79" s="583">
        <v>6088333.7142857146</v>
      </c>
      <c r="I79" s="575">
        <v>6530118.4117647056</v>
      </c>
      <c r="J79" s="575">
        <v>8720535.2352941185</v>
      </c>
      <c r="K79" s="575">
        <v>11096790.529411765</v>
      </c>
      <c r="L79" s="575">
        <v>13665398.388888888</v>
      </c>
      <c r="M79" s="575">
        <v>13665398.388888888</v>
      </c>
      <c r="N79" s="583">
        <v>13665398.388888888</v>
      </c>
      <c r="O79" s="583">
        <v>13665398.388888888</v>
      </c>
      <c r="P79" s="575">
        <v>12948133.842105264</v>
      </c>
      <c r="Q79" s="575">
        <v>12948133.842105264</v>
      </c>
      <c r="R79" s="575">
        <v>12948133.842105264</v>
      </c>
      <c r="S79" s="575"/>
      <c r="T79" s="575"/>
      <c r="U79" s="580">
        <v>6088333.7142857146</v>
      </c>
      <c r="V79" s="580">
        <v>6530118.4117647056</v>
      </c>
      <c r="W79" s="581">
        <v>8720535.2352941185</v>
      </c>
      <c r="X79" s="580">
        <v>11096790.529411765</v>
      </c>
      <c r="Y79" s="580">
        <v>13665398.388888888</v>
      </c>
      <c r="Z79" s="574">
        <f t="shared" si="18"/>
        <v>13665398.388888888</v>
      </c>
      <c r="AA79" s="580">
        <f t="shared" si="18"/>
        <v>13665398.388888888</v>
      </c>
      <c r="AB79" s="580">
        <f t="shared" si="18"/>
        <v>13665398.388888888</v>
      </c>
      <c r="AC79" s="580">
        <f t="shared" si="18"/>
        <v>12948133.842105264</v>
      </c>
      <c r="AD79" s="580">
        <f t="shared" si="18"/>
        <v>12948133.842105264</v>
      </c>
      <c r="AE79" s="575">
        <f t="shared" si="18"/>
        <v>12948133.842105264</v>
      </c>
      <c r="AF79" s="838"/>
      <c r="AG79" s="828"/>
      <c r="AH79" s="822"/>
      <c r="AI79" s="822"/>
      <c r="AJ79" s="661" t="s">
        <v>503</v>
      </c>
      <c r="AK79" s="806"/>
      <c r="AL79" s="806"/>
      <c r="AM79" s="806"/>
      <c r="AN79" s="806"/>
      <c r="AO79" s="806"/>
      <c r="AP79" s="806"/>
      <c r="AQ79" s="806"/>
      <c r="AR79" s="806"/>
      <c r="AS79" s="806"/>
      <c r="AT79" s="806"/>
      <c r="AU79" s="806"/>
      <c r="AV79" s="806"/>
      <c r="AW79" s="806"/>
      <c r="AX79" s="806"/>
      <c r="AY79" s="584"/>
    </row>
    <row r="80" spans="1:51" ht="72" customHeight="1" x14ac:dyDescent="0.25">
      <c r="A80" s="828"/>
      <c r="B80" s="822"/>
      <c r="C80" s="822"/>
      <c r="D80" s="579" t="s">
        <v>353</v>
      </c>
      <c r="E80" s="582"/>
      <c r="F80" s="582"/>
      <c r="G80" s="582"/>
      <c r="H80" s="582">
        <v>2</v>
      </c>
      <c r="I80" s="580">
        <v>3</v>
      </c>
      <c r="J80" s="581">
        <v>4</v>
      </c>
      <c r="K80" s="580">
        <v>4</v>
      </c>
      <c r="L80" s="580">
        <v>7</v>
      </c>
      <c r="M80" s="581">
        <v>8</v>
      </c>
      <c r="N80" s="582">
        <v>9</v>
      </c>
      <c r="O80" s="582">
        <v>10</v>
      </c>
      <c r="P80" s="580">
        <v>10</v>
      </c>
      <c r="Q80" s="580">
        <v>11</v>
      </c>
      <c r="R80" s="580">
        <v>12</v>
      </c>
      <c r="S80" s="580"/>
      <c r="T80" s="575"/>
      <c r="U80" s="580">
        <v>2</v>
      </c>
      <c r="V80" s="580">
        <v>3</v>
      </c>
      <c r="W80" s="581">
        <v>4</v>
      </c>
      <c r="X80" s="580">
        <v>4</v>
      </c>
      <c r="Y80" s="580">
        <v>7</v>
      </c>
      <c r="Z80" s="581">
        <f t="shared" si="18"/>
        <v>8</v>
      </c>
      <c r="AA80" s="580">
        <f t="shared" si="18"/>
        <v>9</v>
      </c>
      <c r="AB80" s="580">
        <f t="shared" si="18"/>
        <v>10</v>
      </c>
      <c r="AC80" s="580">
        <f t="shared" si="18"/>
        <v>10</v>
      </c>
      <c r="AD80" s="580">
        <f t="shared" si="18"/>
        <v>11</v>
      </c>
      <c r="AE80" s="580">
        <f t="shared" si="18"/>
        <v>12</v>
      </c>
      <c r="AF80" s="838"/>
      <c r="AG80" s="828"/>
      <c r="AH80" s="822"/>
      <c r="AI80" s="822"/>
      <c r="AJ80" s="658" t="s">
        <v>504</v>
      </c>
      <c r="AK80" s="806"/>
      <c r="AL80" s="806"/>
      <c r="AM80" s="806"/>
      <c r="AN80" s="806"/>
      <c r="AO80" s="806"/>
      <c r="AP80" s="806"/>
      <c r="AQ80" s="806"/>
      <c r="AR80" s="806"/>
      <c r="AS80" s="806"/>
      <c r="AT80" s="806"/>
      <c r="AU80" s="806"/>
      <c r="AV80" s="806"/>
      <c r="AW80" s="806"/>
      <c r="AX80" s="806"/>
      <c r="AY80" s="584"/>
    </row>
    <row r="81" spans="1:51" ht="28.9" customHeight="1" x14ac:dyDescent="0.25">
      <c r="A81" s="828"/>
      <c r="B81" s="822"/>
      <c r="C81" s="823"/>
      <c r="D81" s="578" t="s">
        <v>354</v>
      </c>
      <c r="E81" s="582"/>
      <c r="F81" s="582"/>
      <c r="G81" s="582"/>
      <c r="H81" s="582">
        <v>75887879.16883117</v>
      </c>
      <c r="I81" s="580">
        <v>64114743.411764704</v>
      </c>
      <c r="J81" s="580">
        <v>62600886.1124871</v>
      </c>
      <c r="K81" s="580">
        <v>52045857.196078427</v>
      </c>
      <c r="L81" s="580">
        <v>72640699.464157701</v>
      </c>
      <c r="M81" s="580">
        <f t="shared" ref="M81:R81" si="20">+M77+M79</f>
        <v>70135956.947447449</v>
      </c>
      <c r="N81" s="582">
        <f t="shared" si="20"/>
        <v>68330212.34237726</v>
      </c>
      <c r="O81" s="582">
        <f t="shared" si="20"/>
        <v>68902745.327664405</v>
      </c>
      <c r="P81" s="580">
        <f t="shared" si="20"/>
        <v>62159588.387559809</v>
      </c>
      <c r="Q81" s="580">
        <f t="shared" si="20"/>
        <v>63987442.413533837</v>
      </c>
      <c r="R81" s="580">
        <f t="shared" si="20"/>
        <v>68071532.782645807</v>
      </c>
      <c r="S81" s="580"/>
      <c r="T81" s="575"/>
      <c r="U81" s="580">
        <v>75887879.16883117</v>
      </c>
      <c r="V81" s="580">
        <v>64114743.411764704</v>
      </c>
      <c r="W81" s="581">
        <v>62600886.1124871</v>
      </c>
      <c r="X81" s="580">
        <v>52045857.196078427</v>
      </c>
      <c r="Y81" s="580">
        <v>72640699.464157701</v>
      </c>
      <c r="Z81" s="580">
        <f t="shared" si="18"/>
        <v>70135956.947447449</v>
      </c>
      <c r="AA81" s="580">
        <f t="shared" si="18"/>
        <v>68330212.34237726</v>
      </c>
      <c r="AB81" s="580">
        <f t="shared" si="18"/>
        <v>68902745.327664405</v>
      </c>
      <c r="AC81" s="580">
        <f t="shared" si="18"/>
        <v>62159588.387559809</v>
      </c>
      <c r="AD81" s="580">
        <f t="shared" si="18"/>
        <v>63987442.413533837</v>
      </c>
      <c r="AE81" s="580">
        <f t="shared" si="18"/>
        <v>68071532.782645807</v>
      </c>
      <c r="AF81" s="838"/>
      <c r="AG81" s="829"/>
      <c r="AH81" s="823"/>
      <c r="AI81" s="823"/>
      <c r="AJ81" s="659" t="s">
        <v>505</v>
      </c>
      <c r="AK81" s="807"/>
      <c r="AL81" s="807"/>
      <c r="AM81" s="807"/>
      <c r="AN81" s="807"/>
      <c r="AO81" s="807"/>
      <c r="AP81" s="807"/>
      <c r="AQ81" s="807"/>
      <c r="AR81" s="807"/>
      <c r="AS81" s="807"/>
      <c r="AT81" s="807"/>
      <c r="AU81" s="807"/>
      <c r="AV81" s="807"/>
      <c r="AW81" s="807"/>
      <c r="AX81" s="807"/>
      <c r="AY81" s="584"/>
    </row>
    <row r="82" spans="1:51" ht="22.9" customHeight="1" x14ac:dyDescent="0.25">
      <c r="A82" s="828"/>
      <c r="B82" s="822"/>
      <c r="C82" s="821" t="s">
        <v>561</v>
      </c>
      <c r="D82" s="572" t="s">
        <v>345</v>
      </c>
      <c r="E82" s="582"/>
      <c r="F82" s="582"/>
      <c r="G82" s="582"/>
      <c r="H82" s="582">
        <v>2</v>
      </c>
      <c r="I82" s="580">
        <v>2</v>
      </c>
      <c r="J82" s="581">
        <v>2</v>
      </c>
      <c r="K82" s="580">
        <v>3</v>
      </c>
      <c r="L82" s="580">
        <v>5</v>
      </c>
      <c r="M82" s="581">
        <v>7</v>
      </c>
      <c r="N82" s="582">
        <v>7</v>
      </c>
      <c r="O82" s="582">
        <v>7</v>
      </c>
      <c r="P82" s="580">
        <v>9</v>
      </c>
      <c r="Q82" s="580">
        <v>9</v>
      </c>
      <c r="R82" s="580">
        <v>10</v>
      </c>
      <c r="S82" s="580"/>
      <c r="T82" s="575"/>
      <c r="U82" s="580">
        <v>2</v>
      </c>
      <c r="V82" s="580">
        <v>2</v>
      </c>
      <c r="W82" s="581">
        <v>2</v>
      </c>
      <c r="X82" s="580">
        <v>3</v>
      </c>
      <c r="Y82" s="580">
        <v>5</v>
      </c>
      <c r="Z82" s="581">
        <f t="shared" si="18"/>
        <v>7</v>
      </c>
      <c r="AA82" s="580">
        <f t="shared" si="18"/>
        <v>7</v>
      </c>
      <c r="AB82" s="580">
        <f t="shared" si="18"/>
        <v>7</v>
      </c>
      <c r="AC82" s="580">
        <f t="shared" si="18"/>
        <v>9</v>
      </c>
      <c r="AD82" s="580">
        <f t="shared" si="18"/>
        <v>9</v>
      </c>
      <c r="AE82" s="580">
        <f t="shared" si="18"/>
        <v>10</v>
      </c>
      <c r="AF82" s="899" t="s">
        <v>562</v>
      </c>
      <c r="AG82" s="890" t="s">
        <v>561</v>
      </c>
      <c r="AH82" s="824" t="s">
        <v>563</v>
      </c>
      <c r="AI82" s="895" t="s">
        <v>564</v>
      </c>
      <c r="AJ82" s="656" t="s">
        <v>499</v>
      </c>
      <c r="AK82" s="826" t="s">
        <v>490</v>
      </c>
      <c r="AL82" s="826" t="s">
        <v>565</v>
      </c>
      <c r="AM82" s="826" t="s">
        <v>491</v>
      </c>
      <c r="AN82" s="861">
        <v>1294358</v>
      </c>
      <c r="AO82" s="861">
        <v>610618</v>
      </c>
      <c r="AP82" s="861">
        <v>683740</v>
      </c>
      <c r="AQ82" s="840" t="s">
        <v>492</v>
      </c>
      <c r="AR82" s="840" t="s">
        <v>492</v>
      </c>
      <c r="AS82" s="840" t="s">
        <v>492</v>
      </c>
      <c r="AT82" s="840" t="s">
        <v>492</v>
      </c>
      <c r="AU82" s="833" t="s">
        <v>492</v>
      </c>
      <c r="AV82" s="833" t="s">
        <v>492</v>
      </c>
      <c r="AW82" s="833" t="s">
        <v>492</v>
      </c>
      <c r="AX82" s="861">
        <v>1290144</v>
      </c>
      <c r="AY82" s="584"/>
    </row>
    <row r="83" spans="1:51" ht="20.45" customHeight="1" x14ac:dyDescent="0.25">
      <c r="A83" s="828"/>
      <c r="B83" s="822"/>
      <c r="C83" s="822"/>
      <c r="D83" s="578" t="s">
        <v>349</v>
      </c>
      <c r="E83" s="582"/>
      <c r="F83" s="582"/>
      <c r="G83" s="582"/>
      <c r="H83" s="582">
        <v>69799545.454545453</v>
      </c>
      <c r="I83" s="580">
        <v>38389750</v>
      </c>
      <c r="J83" s="580">
        <v>26940175.438596491</v>
      </c>
      <c r="K83" s="580">
        <v>30711800</v>
      </c>
      <c r="L83" s="580">
        <v>42125215.053763442</v>
      </c>
      <c r="M83" s="580">
        <f>+M82*$Z$11/$Z$10</f>
        <v>49411738.738738738</v>
      </c>
      <c r="N83" s="582">
        <f>+N82*$AA$11/$AA$10</f>
        <v>42517077.519379847</v>
      </c>
      <c r="O83" s="582">
        <f>+O82*$AB$11/$AB$10</f>
        <v>38666142.857142858</v>
      </c>
      <c r="P83" s="580">
        <f>+P82*$AC$11/$AC$10</f>
        <v>44290309.090909094</v>
      </c>
      <c r="Q83" s="580">
        <f>+Q82*$AD$11/$AD$10</f>
        <v>41759434.285714284</v>
      </c>
      <c r="R83" s="580">
        <f>+R82*$AE$11/$AE$10</f>
        <v>45936165.783783786</v>
      </c>
      <c r="S83" s="580"/>
      <c r="T83" s="575"/>
      <c r="U83" s="580">
        <v>69799545.454545453</v>
      </c>
      <c r="V83" s="580">
        <v>38389750</v>
      </c>
      <c r="W83" s="581">
        <v>26940175.438596491</v>
      </c>
      <c r="X83" s="580">
        <v>30711800</v>
      </c>
      <c r="Y83" s="580">
        <v>42125215.053763442</v>
      </c>
      <c r="Z83" s="580">
        <f t="shared" si="18"/>
        <v>49411738.738738738</v>
      </c>
      <c r="AA83" s="580">
        <f t="shared" si="18"/>
        <v>42517077.519379847</v>
      </c>
      <c r="AB83" s="580">
        <f t="shared" si="18"/>
        <v>38666142.857142858</v>
      </c>
      <c r="AC83" s="580">
        <f t="shared" si="18"/>
        <v>44290309.090909094</v>
      </c>
      <c r="AD83" s="580">
        <f t="shared" si="18"/>
        <v>41759434.285714284</v>
      </c>
      <c r="AE83" s="580">
        <f t="shared" si="18"/>
        <v>45936165.783783786</v>
      </c>
      <c r="AF83" s="838"/>
      <c r="AG83" s="828"/>
      <c r="AH83" s="822"/>
      <c r="AI83" s="822"/>
      <c r="AJ83" s="661" t="s">
        <v>528</v>
      </c>
      <c r="AK83" s="806"/>
      <c r="AL83" s="806"/>
      <c r="AM83" s="806"/>
      <c r="AN83" s="806"/>
      <c r="AO83" s="806"/>
      <c r="AP83" s="806"/>
      <c r="AQ83" s="806"/>
      <c r="AR83" s="806"/>
      <c r="AS83" s="806"/>
      <c r="AT83" s="806"/>
      <c r="AU83" s="806"/>
      <c r="AV83" s="806"/>
      <c r="AW83" s="806"/>
      <c r="AX83" s="806"/>
      <c r="AY83" s="584"/>
    </row>
    <row r="84" spans="1:51" ht="28.9" customHeight="1" x14ac:dyDescent="0.25">
      <c r="A84" s="828"/>
      <c r="B84" s="822"/>
      <c r="C84" s="822"/>
      <c r="D84" s="579" t="s">
        <v>351</v>
      </c>
      <c r="E84" s="582"/>
      <c r="F84" s="582"/>
      <c r="G84" s="582"/>
      <c r="H84" s="582"/>
      <c r="I84" s="580"/>
      <c r="J84" s="581"/>
      <c r="K84" s="580"/>
      <c r="L84" s="580"/>
      <c r="M84" s="581"/>
      <c r="N84" s="582"/>
      <c r="O84" s="582"/>
      <c r="P84" s="580"/>
      <c r="Q84" s="580"/>
      <c r="R84" s="580"/>
      <c r="S84" s="580"/>
      <c r="T84" s="575"/>
      <c r="U84" s="580">
        <v>0</v>
      </c>
      <c r="V84" s="580">
        <v>0</v>
      </c>
      <c r="W84" s="581">
        <v>0</v>
      </c>
      <c r="X84" s="580">
        <v>0</v>
      </c>
      <c r="Y84" s="580">
        <v>0</v>
      </c>
      <c r="Z84" s="581">
        <f t="shared" si="18"/>
        <v>0</v>
      </c>
      <c r="AA84" s="580">
        <f t="shared" si="18"/>
        <v>0</v>
      </c>
      <c r="AB84" s="580">
        <f t="shared" si="18"/>
        <v>0</v>
      </c>
      <c r="AC84" s="580">
        <f t="shared" si="18"/>
        <v>0</v>
      </c>
      <c r="AD84" s="580">
        <f t="shared" si="18"/>
        <v>0</v>
      </c>
      <c r="AE84" s="580">
        <f t="shared" si="18"/>
        <v>0</v>
      </c>
      <c r="AF84" s="838"/>
      <c r="AG84" s="828"/>
      <c r="AH84" s="822"/>
      <c r="AI84" s="822"/>
      <c r="AJ84" s="657" t="s">
        <v>502</v>
      </c>
      <c r="AK84" s="806"/>
      <c r="AL84" s="806"/>
      <c r="AM84" s="806"/>
      <c r="AN84" s="806"/>
      <c r="AO84" s="806"/>
      <c r="AP84" s="806"/>
      <c r="AQ84" s="806"/>
      <c r="AR84" s="806"/>
      <c r="AS84" s="806"/>
      <c r="AT84" s="806"/>
      <c r="AU84" s="806"/>
      <c r="AV84" s="806"/>
      <c r="AW84" s="806"/>
      <c r="AX84" s="806"/>
      <c r="AY84" s="584"/>
    </row>
    <row r="85" spans="1:51" ht="30.6" customHeight="1" x14ac:dyDescent="0.25">
      <c r="A85" s="828"/>
      <c r="B85" s="822"/>
      <c r="C85" s="822"/>
      <c r="D85" s="578" t="s">
        <v>352</v>
      </c>
      <c r="E85" s="582"/>
      <c r="F85" s="582"/>
      <c r="G85" s="582"/>
      <c r="H85" s="583">
        <v>6088333.7142857146</v>
      </c>
      <c r="I85" s="575">
        <v>6530118.4117647056</v>
      </c>
      <c r="J85" s="575">
        <v>8720535.2352941185</v>
      </c>
      <c r="K85" s="575">
        <v>11096790.529411765</v>
      </c>
      <c r="L85" s="575">
        <v>13665398.388888888</v>
      </c>
      <c r="M85" s="575">
        <v>13665398.388888888</v>
      </c>
      <c r="N85" s="583">
        <v>13665398.388888888</v>
      </c>
      <c r="O85" s="583">
        <v>13665398.388888888</v>
      </c>
      <c r="P85" s="575">
        <v>12948133.842105264</v>
      </c>
      <c r="Q85" s="575">
        <v>12948133.842105264</v>
      </c>
      <c r="R85" s="575">
        <v>12948133.842105264</v>
      </c>
      <c r="S85" s="575"/>
      <c r="T85" s="575"/>
      <c r="U85" s="580">
        <v>6088333.7142857146</v>
      </c>
      <c r="V85" s="580">
        <v>6530118.4117647056</v>
      </c>
      <c r="W85" s="581">
        <v>8720535.2352941185</v>
      </c>
      <c r="X85" s="580">
        <v>11096790.529411765</v>
      </c>
      <c r="Y85" s="580">
        <v>13665398.388888888</v>
      </c>
      <c r="Z85" s="574">
        <f t="shared" si="18"/>
        <v>13665398.388888888</v>
      </c>
      <c r="AA85" s="580">
        <f t="shared" si="18"/>
        <v>13665398.388888888</v>
      </c>
      <c r="AB85" s="580">
        <f t="shared" si="18"/>
        <v>13665398.388888888</v>
      </c>
      <c r="AC85" s="580">
        <f t="shared" si="18"/>
        <v>12948133.842105264</v>
      </c>
      <c r="AD85" s="580">
        <f t="shared" si="18"/>
        <v>12948133.842105264</v>
      </c>
      <c r="AE85" s="575">
        <f t="shared" si="18"/>
        <v>12948133.842105264</v>
      </c>
      <c r="AF85" s="838"/>
      <c r="AG85" s="828"/>
      <c r="AH85" s="822"/>
      <c r="AI85" s="822"/>
      <c r="AJ85" s="661" t="s">
        <v>503</v>
      </c>
      <c r="AK85" s="806"/>
      <c r="AL85" s="806"/>
      <c r="AM85" s="806"/>
      <c r="AN85" s="806"/>
      <c r="AO85" s="806"/>
      <c r="AP85" s="806"/>
      <c r="AQ85" s="806"/>
      <c r="AR85" s="806"/>
      <c r="AS85" s="806"/>
      <c r="AT85" s="806"/>
      <c r="AU85" s="806"/>
      <c r="AV85" s="806"/>
      <c r="AW85" s="806"/>
      <c r="AX85" s="806"/>
      <c r="AY85" s="584"/>
    </row>
    <row r="86" spans="1:51" ht="72" customHeight="1" x14ac:dyDescent="0.25">
      <c r="A86" s="828"/>
      <c r="B86" s="822"/>
      <c r="C86" s="822"/>
      <c r="D86" s="579" t="s">
        <v>353</v>
      </c>
      <c r="E86" s="582"/>
      <c r="F86" s="582"/>
      <c r="G86" s="582"/>
      <c r="H86" s="582">
        <v>2</v>
      </c>
      <c r="I86" s="580">
        <v>2</v>
      </c>
      <c r="J86" s="581">
        <v>2</v>
      </c>
      <c r="K86" s="580">
        <v>3</v>
      </c>
      <c r="L86" s="580">
        <v>5</v>
      </c>
      <c r="M86" s="581">
        <v>7</v>
      </c>
      <c r="N86" s="582">
        <v>7</v>
      </c>
      <c r="O86" s="582">
        <v>7</v>
      </c>
      <c r="P86" s="580">
        <v>9</v>
      </c>
      <c r="Q86" s="580">
        <v>9</v>
      </c>
      <c r="R86" s="580">
        <v>10</v>
      </c>
      <c r="S86" s="580"/>
      <c r="T86" s="575"/>
      <c r="U86" s="580">
        <v>2</v>
      </c>
      <c r="V86" s="580">
        <v>2</v>
      </c>
      <c r="W86" s="581">
        <v>2</v>
      </c>
      <c r="X86" s="580">
        <v>3</v>
      </c>
      <c r="Y86" s="580">
        <v>5</v>
      </c>
      <c r="Z86" s="581">
        <f t="shared" ref="Z86:AE101" si="21">+M86</f>
        <v>7</v>
      </c>
      <c r="AA86" s="580">
        <f t="shared" si="21"/>
        <v>7</v>
      </c>
      <c r="AB86" s="580">
        <f t="shared" si="21"/>
        <v>7</v>
      </c>
      <c r="AC86" s="580">
        <f t="shared" si="21"/>
        <v>9</v>
      </c>
      <c r="AD86" s="580">
        <f t="shared" si="21"/>
        <v>9</v>
      </c>
      <c r="AE86" s="580">
        <f t="shared" si="21"/>
        <v>10</v>
      </c>
      <c r="AF86" s="838"/>
      <c r="AG86" s="828"/>
      <c r="AH86" s="822"/>
      <c r="AI86" s="822"/>
      <c r="AJ86" s="658" t="s">
        <v>504</v>
      </c>
      <c r="AK86" s="806"/>
      <c r="AL86" s="806"/>
      <c r="AM86" s="806"/>
      <c r="AN86" s="806"/>
      <c r="AO86" s="806"/>
      <c r="AP86" s="806"/>
      <c r="AQ86" s="806"/>
      <c r="AR86" s="806"/>
      <c r="AS86" s="806"/>
      <c r="AT86" s="806"/>
      <c r="AU86" s="806"/>
      <c r="AV86" s="806"/>
      <c r="AW86" s="806"/>
      <c r="AX86" s="806"/>
      <c r="AY86" s="584"/>
    </row>
    <row r="87" spans="1:51" ht="28.9" customHeight="1" x14ac:dyDescent="0.25">
      <c r="A87" s="828"/>
      <c r="B87" s="822"/>
      <c r="C87" s="823"/>
      <c r="D87" s="578" t="s">
        <v>354</v>
      </c>
      <c r="E87" s="582"/>
      <c r="F87" s="582"/>
      <c r="G87" s="582"/>
      <c r="H87" s="582">
        <v>75887879.16883117</v>
      </c>
      <c r="I87" s="580">
        <v>44919868.411764704</v>
      </c>
      <c r="J87" s="580">
        <v>35660710.673890606</v>
      </c>
      <c r="K87" s="580">
        <v>41808590.529411763</v>
      </c>
      <c r="L87" s="580">
        <v>55790613.44265233</v>
      </c>
      <c r="M87" s="580">
        <f t="shared" ref="M87:R87" si="22">+M83+M85</f>
        <v>63077137.127627626</v>
      </c>
      <c r="N87" s="582">
        <f t="shared" si="22"/>
        <v>56182475.908268735</v>
      </c>
      <c r="O87" s="582">
        <f t="shared" si="22"/>
        <v>52331541.246031746</v>
      </c>
      <c r="P87" s="580">
        <f t="shared" si="22"/>
        <v>57238442.933014356</v>
      </c>
      <c r="Q87" s="580">
        <f t="shared" si="22"/>
        <v>54707568.127819546</v>
      </c>
      <c r="R87" s="580">
        <f t="shared" si="22"/>
        <v>58884299.625889048</v>
      </c>
      <c r="S87" s="580"/>
      <c r="T87" s="575"/>
      <c r="U87" s="580">
        <v>75887879.16883117</v>
      </c>
      <c r="V87" s="580">
        <v>44919868.411764704</v>
      </c>
      <c r="W87" s="581">
        <v>35660710.673890606</v>
      </c>
      <c r="X87" s="580">
        <v>41808590.529411763</v>
      </c>
      <c r="Y87" s="580">
        <v>55790613.44265233</v>
      </c>
      <c r="Z87" s="580">
        <f t="shared" si="21"/>
        <v>63077137.127627626</v>
      </c>
      <c r="AA87" s="580">
        <f t="shared" si="21"/>
        <v>56182475.908268735</v>
      </c>
      <c r="AB87" s="580">
        <f t="shared" si="21"/>
        <v>52331541.246031746</v>
      </c>
      <c r="AC87" s="580">
        <f t="shared" si="21"/>
        <v>57238442.933014356</v>
      </c>
      <c r="AD87" s="580">
        <f t="shared" si="21"/>
        <v>54707568.127819546</v>
      </c>
      <c r="AE87" s="580">
        <f t="shared" si="21"/>
        <v>58884299.625889048</v>
      </c>
      <c r="AF87" s="838"/>
      <c r="AG87" s="829"/>
      <c r="AH87" s="823"/>
      <c r="AI87" s="823"/>
      <c r="AJ87" s="659" t="s">
        <v>505</v>
      </c>
      <c r="AK87" s="807"/>
      <c r="AL87" s="807"/>
      <c r="AM87" s="807"/>
      <c r="AN87" s="807"/>
      <c r="AO87" s="807"/>
      <c r="AP87" s="807"/>
      <c r="AQ87" s="807"/>
      <c r="AR87" s="807"/>
      <c r="AS87" s="807"/>
      <c r="AT87" s="807"/>
      <c r="AU87" s="807"/>
      <c r="AV87" s="807"/>
      <c r="AW87" s="807"/>
      <c r="AX87" s="807"/>
      <c r="AY87" s="584"/>
    </row>
    <row r="88" spans="1:51" ht="22.9" customHeight="1" x14ac:dyDescent="0.25">
      <c r="A88" s="828"/>
      <c r="B88" s="822"/>
      <c r="C88" s="821" t="s">
        <v>566</v>
      </c>
      <c r="D88" s="572" t="s">
        <v>345</v>
      </c>
      <c r="E88" s="582"/>
      <c r="F88" s="582"/>
      <c r="G88" s="582">
        <v>1</v>
      </c>
      <c r="H88" s="582">
        <v>1</v>
      </c>
      <c r="I88" s="580">
        <v>1</v>
      </c>
      <c r="J88" s="581">
        <v>1</v>
      </c>
      <c r="K88" s="580">
        <v>3</v>
      </c>
      <c r="L88" s="580">
        <v>3</v>
      </c>
      <c r="M88" s="581">
        <v>3</v>
      </c>
      <c r="N88" s="582">
        <v>4</v>
      </c>
      <c r="O88" s="582">
        <v>4</v>
      </c>
      <c r="P88" s="580">
        <v>6</v>
      </c>
      <c r="Q88" s="580">
        <v>6</v>
      </c>
      <c r="R88" s="580">
        <v>6</v>
      </c>
      <c r="S88" s="580"/>
      <c r="T88" s="575"/>
      <c r="U88" s="580">
        <v>1</v>
      </c>
      <c r="V88" s="580">
        <v>1</v>
      </c>
      <c r="W88" s="581">
        <v>1</v>
      </c>
      <c r="X88" s="580">
        <v>3</v>
      </c>
      <c r="Y88" s="580">
        <v>3</v>
      </c>
      <c r="Z88" s="581">
        <f t="shared" si="21"/>
        <v>3</v>
      </c>
      <c r="AA88" s="580">
        <f t="shared" si="21"/>
        <v>4</v>
      </c>
      <c r="AB88" s="580">
        <f t="shared" si="21"/>
        <v>4</v>
      </c>
      <c r="AC88" s="580">
        <f t="shared" si="21"/>
        <v>6</v>
      </c>
      <c r="AD88" s="580">
        <f t="shared" si="21"/>
        <v>6</v>
      </c>
      <c r="AE88" s="580">
        <f t="shared" si="21"/>
        <v>6</v>
      </c>
      <c r="AF88" s="899" t="s">
        <v>567</v>
      </c>
      <c r="AG88" s="827" t="s">
        <v>566</v>
      </c>
      <c r="AH88" s="824" t="s">
        <v>568</v>
      </c>
      <c r="AI88" s="824" t="s">
        <v>569</v>
      </c>
      <c r="AJ88" s="656" t="s">
        <v>499</v>
      </c>
      <c r="AK88" s="826" t="s">
        <v>490</v>
      </c>
      <c r="AL88" s="826" t="s">
        <v>178</v>
      </c>
      <c r="AM88" s="826" t="s">
        <v>491</v>
      </c>
      <c r="AN88" s="861">
        <v>153342</v>
      </c>
      <c r="AO88" s="861">
        <v>75950</v>
      </c>
      <c r="AP88" s="861">
        <v>77392</v>
      </c>
      <c r="AQ88" s="840" t="s">
        <v>492</v>
      </c>
      <c r="AR88" s="840" t="s">
        <v>492</v>
      </c>
      <c r="AS88" s="840" t="s">
        <v>492</v>
      </c>
      <c r="AT88" s="840" t="s">
        <v>492</v>
      </c>
      <c r="AU88" s="833" t="s">
        <v>492</v>
      </c>
      <c r="AV88" s="833" t="s">
        <v>492</v>
      </c>
      <c r="AW88" s="833" t="s">
        <v>492</v>
      </c>
      <c r="AX88" s="861">
        <v>153342</v>
      </c>
      <c r="AY88" s="584"/>
    </row>
    <row r="89" spans="1:51" ht="20.45" customHeight="1" x14ac:dyDescent="0.25">
      <c r="A89" s="828"/>
      <c r="B89" s="822"/>
      <c r="C89" s="822"/>
      <c r="D89" s="578" t="s">
        <v>349</v>
      </c>
      <c r="E89" s="582"/>
      <c r="F89" s="582"/>
      <c r="G89" s="582"/>
      <c r="H89" s="582">
        <v>34899772.727272727</v>
      </c>
      <c r="I89" s="580">
        <v>19194875</v>
      </c>
      <c r="J89" s="580">
        <v>13470087.719298245</v>
      </c>
      <c r="K89" s="580">
        <v>30711800</v>
      </c>
      <c r="L89" s="580">
        <v>25275129.032258064</v>
      </c>
      <c r="M89" s="580">
        <f>+M88*$Z$11/$Z$10</f>
        <v>21176459.459459461</v>
      </c>
      <c r="N89" s="582">
        <f>+N88*$AA$11/$AA$10</f>
        <v>24295472.868217055</v>
      </c>
      <c r="O89" s="582">
        <f>+O88*$AB$11/$AB$10</f>
        <v>22094938.775510203</v>
      </c>
      <c r="P89" s="580">
        <f>+P88*$AC$11/$AC$10</f>
        <v>29526872.727272727</v>
      </c>
      <c r="Q89" s="580">
        <f>+Q88*$AD$11/$AD$10</f>
        <v>27839622.857142858</v>
      </c>
      <c r="R89" s="580">
        <f>+R88*$AE$11/$AE$10</f>
        <v>27561699.470270269</v>
      </c>
      <c r="S89" s="580"/>
      <c r="T89" s="575"/>
      <c r="U89" s="580">
        <v>34899772.727272727</v>
      </c>
      <c r="V89" s="580">
        <v>19194875</v>
      </c>
      <c r="W89" s="581">
        <v>13470087.719298245</v>
      </c>
      <c r="X89" s="580">
        <v>30711800</v>
      </c>
      <c r="Y89" s="580">
        <v>25275129.032258064</v>
      </c>
      <c r="Z89" s="580">
        <f t="shared" si="21"/>
        <v>21176459.459459461</v>
      </c>
      <c r="AA89" s="580">
        <f t="shared" si="21"/>
        <v>24295472.868217055</v>
      </c>
      <c r="AB89" s="580">
        <f t="shared" si="21"/>
        <v>22094938.775510203</v>
      </c>
      <c r="AC89" s="580">
        <f t="shared" si="21"/>
        <v>29526872.727272727</v>
      </c>
      <c r="AD89" s="580">
        <f t="shared" si="21"/>
        <v>27839622.857142858</v>
      </c>
      <c r="AE89" s="580">
        <f t="shared" si="21"/>
        <v>27561699.470270269</v>
      </c>
      <c r="AF89" s="838"/>
      <c r="AG89" s="828"/>
      <c r="AH89" s="822"/>
      <c r="AI89" s="822"/>
      <c r="AJ89" s="661" t="s">
        <v>528</v>
      </c>
      <c r="AK89" s="806"/>
      <c r="AL89" s="806"/>
      <c r="AM89" s="806"/>
      <c r="AN89" s="806"/>
      <c r="AO89" s="806"/>
      <c r="AP89" s="806"/>
      <c r="AQ89" s="806"/>
      <c r="AR89" s="806"/>
      <c r="AS89" s="806"/>
      <c r="AT89" s="806"/>
      <c r="AU89" s="806"/>
      <c r="AV89" s="806"/>
      <c r="AW89" s="806"/>
      <c r="AX89" s="806"/>
      <c r="AY89" s="584"/>
    </row>
    <row r="90" spans="1:51" ht="28.9" customHeight="1" x14ac:dyDescent="0.25">
      <c r="A90" s="828"/>
      <c r="B90" s="822"/>
      <c r="C90" s="822"/>
      <c r="D90" s="579" t="s">
        <v>351</v>
      </c>
      <c r="E90" s="582"/>
      <c r="F90" s="582"/>
      <c r="G90" s="582"/>
      <c r="H90" s="582"/>
      <c r="I90" s="580"/>
      <c r="J90" s="581"/>
      <c r="K90" s="580"/>
      <c r="L90" s="580"/>
      <c r="M90" s="581"/>
      <c r="N90" s="582"/>
      <c r="O90" s="582"/>
      <c r="P90" s="580"/>
      <c r="Q90" s="580"/>
      <c r="R90" s="580"/>
      <c r="S90" s="580"/>
      <c r="T90" s="575"/>
      <c r="U90" s="580">
        <v>0</v>
      </c>
      <c r="V90" s="580">
        <v>0</v>
      </c>
      <c r="W90" s="581">
        <v>0</v>
      </c>
      <c r="X90" s="580">
        <v>0</v>
      </c>
      <c r="Y90" s="580">
        <v>0</v>
      </c>
      <c r="Z90" s="581">
        <f t="shared" si="21"/>
        <v>0</v>
      </c>
      <c r="AA90" s="580">
        <f t="shared" si="21"/>
        <v>0</v>
      </c>
      <c r="AB90" s="580">
        <f t="shared" si="21"/>
        <v>0</v>
      </c>
      <c r="AC90" s="580">
        <f t="shared" si="21"/>
        <v>0</v>
      </c>
      <c r="AD90" s="580">
        <f t="shared" si="21"/>
        <v>0</v>
      </c>
      <c r="AE90" s="580">
        <f t="shared" si="21"/>
        <v>0</v>
      </c>
      <c r="AF90" s="838"/>
      <c r="AG90" s="828"/>
      <c r="AH90" s="822"/>
      <c r="AI90" s="822"/>
      <c r="AJ90" s="657" t="s">
        <v>502</v>
      </c>
      <c r="AK90" s="806"/>
      <c r="AL90" s="806"/>
      <c r="AM90" s="806"/>
      <c r="AN90" s="806"/>
      <c r="AO90" s="806"/>
      <c r="AP90" s="806"/>
      <c r="AQ90" s="806"/>
      <c r="AR90" s="806"/>
      <c r="AS90" s="806"/>
      <c r="AT90" s="806"/>
      <c r="AU90" s="806"/>
      <c r="AV90" s="806"/>
      <c r="AW90" s="806"/>
      <c r="AX90" s="806"/>
      <c r="AY90" s="584"/>
    </row>
    <row r="91" spans="1:51" ht="30.6" customHeight="1" x14ac:dyDescent="0.25">
      <c r="A91" s="828"/>
      <c r="B91" s="822"/>
      <c r="C91" s="822"/>
      <c r="D91" s="578" t="s">
        <v>352</v>
      </c>
      <c r="E91" s="582"/>
      <c r="F91" s="582"/>
      <c r="G91" s="582"/>
      <c r="H91" s="582">
        <v>6088333.7142857146</v>
      </c>
      <c r="I91" s="575">
        <v>6530118.4117647056</v>
      </c>
      <c r="J91" s="575">
        <v>8720535.2352941185</v>
      </c>
      <c r="K91" s="575">
        <v>11096790.529411765</v>
      </c>
      <c r="L91" s="575">
        <v>13665398.388888888</v>
      </c>
      <c r="M91" s="575">
        <v>13665398.388888888</v>
      </c>
      <c r="N91" s="583">
        <v>13665398.388888888</v>
      </c>
      <c r="O91" s="583">
        <v>13665398.388888888</v>
      </c>
      <c r="P91" s="575">
        <v>12948133.842105264</v>
      </c>
      <c r="Q91" s="575">
        <v>12948133.842105264</v>
      </c>
      <c r="R91" s="575">
        <v>12948133.842105264</v>
      </c>
      <c r="S91" s="575"/>
      <c r="T91" s="575"/>
      <c r="U91" s="580">
        <v>6088333.7142857146</v>
      </c>
      <c r="V91" s="580">
        <v>6530118.4117647056</v>
      </c>
      <c r="W91" s="581">
        <v>8720535.2352941185</v>
      </c>
      <c r="X91" s="580">
        <v>11096790.529411765</v>
      </c>
      <c r="Y91" s="580">
        <v>13665398.388888888</v>
      </c>
      <c r="Z91" s="574">
        <f t="shared" si="21"/>
        <v>13665398.388888888</v>
      </c>
      <c r="AA91" s="580">
        <f t="shared" si="21"/>
        <v>13665398.388888888</v>
      </c>
      <c r="AB91" s="580">
        <f t="shared" si="21"/>
        <v>13665398.388888888</v>
      </c>
      <c r="AC91" s="580">
        <f t="shared" si="21"/>
        <v>12948133.842105264</v>
      </c>
      <c r="AD91" s="580">
        <f t="shared" si="21"/>
        <v>12948133.842105264</v>
      </c>
      <c r="AE91" s="575">
        <f t="shared" si="21"/>
        <v>12948133.842105264</v>
      </c>
      <c r="AF91" s="838"/>
      <c r="AG91" s="828"/>
      <c r="AH91" s="822"/>
      <c r="AI91" s="822"/>
      <c r="AJ91" s="661" t="s">
        <v>503</v>
      </c>
      <c r="AK91" s="806"/>
      <c r="AL91" s="806"/>
      <c r="AM91" s="806"/>
      <c r="AN91" s="806"/>
      <c r="AO91" s="806"/>
      <c r="AP91" s="806"/>
      <c r="AQ91" s="806"/>
      <c r="AR91" s="806"/>
      <c r="AS91" s="806"/>
      <c r="AT91" s="806"/>
      <c r="AU91" s="806"/>
      <c r="AV91" s="806"/>
      <c r="AW91" s="806"/>
      <c r="AX91" s="806"/>
      <c r="AY91" s="584"/>
    </row>
    <row r="92" spans="1:51" ht="72" customHeight="1" x14ac:dyDescent="0.25">
      <c r="A92" s="828"/>
      <c r="B92" s="822"/>
      <c r="C92" s="822"/>
      <c r="D92" s="579" t="s">
        <v>353</v>
      </c>
      <c r="E92" s="582"/>
      <c r="F92" s="582"/>
      <c r="G92" s="582"/>
      <c r="H92" s="582">
        <v>1</v>
      </c>
      <c r="I92" s="580">
        <v>1</v>
      </c>
      <c r="J92" s="581">
        <v>1</v>
      </c>
      <c r="K92" s="580">
        <v>3</v>
      </c>
      <c r="L92" s="580">
        <v>3</v>
      </c>
      <c r="M92" s="581">
        <v>3</v>
      </c>
      <c r="N92" s="582">
        <v>4</v>
      </c>
      <c r="O92" s="582">
        <v>4</v>
      </c>
      <c r="P92" s="580">
        <v>6</v>
      </c>
      <c r="Q92" s="580">
        <v>6</v>
      </c>
      <c r="R92" s="580">
        <v>6</v>
      </c>
      <c r="S92" s="580"/>
      <c r="T92" s="575"/>
      <c r="U92" s="580">
        <v>1</v>
      </c>
      <c r="V92" s="580">
        <v>1</v>
      </c>
      <c r="W92" s="581">
        <v>1</v>
      </c>
      <c r="X92" s="580">
        <v>3</v>
      </c>
      <c r="Y92" s="580">
        <v>3</v>
      </c>
      <c r="Z92" s="581">
        <f t="shared" si="21"/>
        <v>3</v>
      </c>
      <c r="AA92" s="580">
        <f t="shared" si="21"/>
        <v>4</v>
      </c>
      <c r="AB92" s="580">
        <f t="shared" si="21"/>
        <v>4</v>
      </c>
      <c r="AC92" s="580">
        <f t="shared" si="21"/>
        <v>6</v>
      </c>
      <c r="AD92" s="580">
        <f t="shared" si="21"/>
        <v>6</v>
      </c>
      <c r="AE92" s="580">
        <f t="shared" si="21"/>
        <v>6</v>
      </c>
      <c r="AF92" s="838"/>
      <c r="AG92" s="828"/>
      <c r="AH92" s="822"/>
      <c r="AI92" s="822"/>
      <c r="AJ92" s="662" t="s">
        <v>504</v>
      </c>
      <c r="AK92" s="806"/>
      <c r="AL92" s="806"/>
      <c r="AM92" s="806"/>
      <c r="AN92" s="806"/>
      <c r="AO92" s="806"/>
      <c r="AP92" s="806"/>
      <c r="AQ92" s="806"/>
      <c r="AR92" s="806"/>
      <c r="AS92" s="806"/>
      <c r="AT92" s="806"/>
      <c r="AU92" s="806"/>
      <c r="AV92" s="806"/>
      <c r="AW92" s="806"/>
      <c r="AX92" s="806"/>
      <c r="AY92" s="584"/>
    </row>
    <row r="93" spans="1:51" ht="28.9" customHeight="1" x14ac:dyDescent="0.25">
      <c r="A93" s="828"/>
      <c r="B93" s="822"/>
      <c r="C93" s="823"/>
      <c r="D93" s="578" t="s">
        <v>354</v>
      </c>
      <c r="E93" s="582"/>
      <c r="F93" s="582"/>
      <c r="G93" s="582"/>
      <c r="H93" s="582">
        <v>40988106.441558443</v>
      </c>
      <c r="I93" s="580">
        <v>25724993.411764704</v>
      </c>
      <c r="J93" s="580">
        <v>22190622.954592362</v>
      </c>
      <c r="K93" s="580">
        <v>41808590.529411763</v>
      </c>
      <c r="L93" s="580">
        <v>38940527.421146952</v>
      </c>
      <c r="M93" s="580">
        <f t="shared" ref="M93:R93" si="23">+M89+M91</f>
        <v>34841857.848348349</v>
      </c>
      <c r="N93" s="582">
        <f t="shared" si="23"/>
        <v>37960871.257105947</v>
      </c>
      <c r="O93" s="582">
        <f t="shared" si="23"/>
        <v>35760337.164399087</v>
      </c>
      <c r="P93" s="580">
        <f t="shared" si="23"/>
        <v>42475006.569377989</v>
      </c>
      <c r="Q93" s="580">
        <f t="shared" si="23"/>
        <v>40787756.69924812</v>
      </c>
      <c r="R93" s="580">
        <f t="shared" si="23"/>
        <v>40509833.312375531</v>
      </c>
      <c r="S93" s="580"/>
      <c r="T93" s="575"/>
      <c r="U93" s="580">
        <v>40988106.441558443</v>
      </c>
      <c r="V93" s="580">
        <v>25724993.411764704</v>
      </c>
      <c r="W93" s="581">
        <v>22190622.954592362</v>
      </c>
      <c r="X93" s="580">
        <v>41808590.529411763</v>
      </c>
      <c r="Y93" s="580">
        <v>38940527.421146952</v>
      </c>
      <c r="Z93" s="580">
        <f t="shared" si="21"/>
        <v>34841857.848348349</v>
      </c>
      <c r="AA93" s="580">
        <f t="shared" si="21"/>
        <v>37960871.257105947</v>
      </c>
      <c r="AB93" s="580">
        <f t="shared" si="21"/>
        <v>35760337.164399087</v>
      </c>
      <c r="AC93" s="580">
        <f t="shared" si="21"/>
        <v>42475006.569377989</v>
      </c>
      <c r="AD93" s="580">
        <f t="shared" si="21"/>
        <v>40787756.69924812</v>
      </c>
      <c r="AE93" s="580">
        <f t="shared" si="21"/>
        <v>40509833.312375531</v>
      </c>
      <c r="AF93" s="838"/>
      <c r="AG93" s="829"/>
      <c r="AH93" s="823"/>
      <c r="AI93" s="823"/>
      <c r="AJ93" s="659" t="s">
        <v>505</v>
      </c>
      <c r="AK93" s="807"/>
      <c r="AL93" s="807"/>
      <c r="AM93" s="807"/>
      <c r="AN93" s="807"/>
      <c r="AO93" s="807"/>
      <c r="AP93" s="807"/>
      <c r="AQ93" s="807"/>
      <c r="AR93" s="807"/>
      <c r="AS93" s="807"/>
      <c r="AT93" s="807"/>
      <c r="AU93" s="807"/>
      <c r="AV93" s="807"/>
      <c r="AW93" s="807"/>
      <c r="AX93" s="807"/>
      <c r="AY93" s="584"/>
    </row>
    <row r="94" spans="1:51" ht="22.9" customHeight="1" x14ac:dyDescent="0.25">
      <c r="A94" s="828"/>
      <c r="B94" s="822"/>
      <c r="C94" s="821" t="s">
        <v>570</v>
      </c>
      <c r="D94" s="572" t="s">
        <v>345</v>
      </c>
      <c r="E94" s="582"/>
      <c r="F94" s="582"/>
      <c r="G94" s="582">
        <v>1</v>
      </c>
      <c r="H94" s="582">
        <v>2</v>
      </c>
      <c r="I94" s="580">
        <v>2</v>
      </c>
      <c r="J94" s="580">
        <v>3</v>
      </c>
      <c r="K94" s="580">
        <v>3</v>
      </c>
      <c r="L94" s="580">
        <v>3</v>
      </c>
      <c r="M94" s="581">
        <v>4</v>
      </c>
      <c r="N94" s="582">
        <v>4</v>
      </c>
      <c r="O94" s="582">
        <v>5</v>
      </c>
      <c r="P94" s="580">
        <v>5</v>
      </c>
      <c r="Q94" s="580">
        <v>5</v>
      </c>
      <c r="R94" s="580">
        <v>5</v>
      </c>
      <c r="S94" s="580"/>
      <c r="T94" s="575"/>
      <c r="U94" s="580">
        <v>2</v>
      </c>
      <c r="V94" s="580">
        <v>2</v>
      </c>
      <c r="W94" s="581">
        <v>3</v>
      </c>
      <c r="X94" s="580">
        <v>3</v>
      </c>
      <c r="Y94" s="580">
        <v>3</v>
      </c>
      <c r="Z94" s="581">
        <f t="shared" si="21"/>
        <v>4</v>
      </c>
      <c r="AA94" s="580">
        <f t="shared" si="21"/>
        <v>4</v>
      </c>
      <c r="AB94" s="580">
        <f t="shared" si="21"/>
        <v>5</v>
      </c>
      <c r="AC94" s="580">
        <f t="shared" si="21"/>
        <v>5</v>
      </c>
      <c r="AD94" s="580">
        <f t="shared" si="21"/>
        <v>5</v>
      </c>
      <c r="AE94" s="580">
        <f t="shared" si="21"/>
        <v>5</v>
      </c>
      <c r="AF94" s="900" t="s">
        <v>571</v>
      </c>
      <c r="AG94" s="827" t="s">
        <v>570</v>
      </c>
      <c r="AH94" s="902" t="s">
        <v>572</v>
      </c>
      <c r="AI94" s="824" t="s">
        <v>573</v>
      </c>
      <c r="AJ94" s="656" t="s">
        <v>499</v>
      </c>
      <c r="AK94" s="826" t="s">
        <v>490</v>
      </c>
      <c r="AL94" s="826" t="s">
        <v>178</v>
      </c>
      <c r="AM94" s="826" t="s">
        <v>491</v>
      </c>
      <c r="AN94" s="861">
        <v>166428</v>
      </c>
      <c r="AO94" s="861">
        <v>69653</v>
      </c>
      <c r="AP94" s="861">
        <v>96775</v>
      </c>
      <c r="AQ94" s="840" t="s">
        <v>492</v>
      </c>
      <c r="AR94" s="840" t="s">
        <v>492</v>
      </c>
      <c r="AS94" s="840" t="s">
        <v>492</v>
      </c>
      <c r="AT94" s="840" t="s">
        <v>492</v>
      </c>
      <c r="AU94" s="833" t="s">
        <v>492</v>
      </c>
      <c r="AV94" s="833" t="s">
        <v>492</v>
      </c>
      <c r="AW94" s="833" t="s">
        <v>492</v>
      </c>
      <c r="AX94" s="861">
        <v>166428</v>
      </c>
      <c r="AY94" s="584"/>
    </row>
    <row r="95" spans="1:51" ht="20.45" customHeight="1" x14ac:dyDescent="0.25">
      <c r="A95" s="828"/>
      <c r="B95" s="822"/>
      <c r="C95" s="822"/>
      <c r="D95" s="578" t="s">
        <v>349</v>
      </c>
      <c r="E95" s="582"/>
      <c r="F95" s="582"/>
      <c r="G95" s="582"/>
      <c r="H95" s="582">
        <v>69799545.454545453</v>
      </c>
      <c r="I95" s="580">
        <v>38389750</v>
      </c>
      <c r="J95" s="580">
        <v>40410263.157894738</v>
      </c>
      <c r="K95" s="580">
        <v>30711800</v>
      </c>
      <c r="L95" s="580">
        <v>25275129.032258064</v>
      </c>
      <c r="M95" s="580">
        <f>+M94*$Z$11/$Z$10</f>
        <v>28235279.27927928</v>
      </c>
      <c r="N95" s="582">
        <f>+N94*$AA$11/$AA$10</f>
        <v>24295472.868217055</v>
      </c>
      <c r="O95" s="582">
        <f>+O94*$AB$11/$AB$10</f>
        <v>27618673.469387755</v>
      </c>
      <c r="P95" s="580">
        <f>+P94*$AC$11/$AC$10</f>
        <v>24605727.272727273</v>
      </c>
      <c r="Q95" s="580">
        <f>+Q94*$AD$11/$AD$10</f>
        <v>23199685.714285713</v>
      </c>
      <c r="R95" s="580">
        <f>+R94*$AE$11/$AE$10</f>
        <v>22968082.891891893</v>
      </c>
      <c r="S95" s="580"/>
      <c r="T95" s="575"/>
      <c r="U95" s="580">
        <v>69799545.454545453</v>
      </c>
      <c r="V95" s="580">
        <v>38389750</v>
      </c>
      <c r="W95" s="581">
        <v>40410263.157894738</v>
      </c>
      <c r="X95" s="580">
        <v>30711800</v>
      </c>
      <c r="Y95" s="580">
        <v>25275129.032258064</v>
      </c>
      <c r="Z95" s="580">
        <f t="shared" si="21"/>
        <v>28235279.27927928</v>
      </c>
      <c r="AA95" s="580">
        <f t="shared" si="21"/>
        <v>24295472.868217055</v>
      </c>
      <c r="AB95" s="580">
        <f t="shared" si="21"/>
        <v>27618673.469387755</v>
      </c>
      <c r="AC95" s="580">
        <f t="shared" si="21"/>
        <v>24605727.272727273</v>
      </c>
      <c r="AD95" s="580">
        <f t="shared" si="21"/>
        <v>23199685.714285713</v>
      </c>
      <c r="AE95" s="580">
        <f t="shared" si="21"/>
        <v>22968082.891891893</v>
      </c>
      <c r="AF95" s="901"/>
      <c r="AG95" s="828"/>
      <c r="AH95" s="882"/>
      <c r="AI95" s="822"/>
      <c r="AJ95" s="661" t="s">
        <v>528</v>
      </c>
      <c r="AK95" s="806"/>
      <c r="AL95" s="806"/>
      <c r="AM95" s="806"/>
      <c r="AN95" s="806"/>
      <c r="AO95" s="806"/>
      <c r="AP95" s="806"/>
      <c r="AQ95" s="806"/>
      <c r="AR95" s="806"/>
      <c r="AS95" s="806"/>
      <c r="AT95" s="806"/>
      <c r="AU95" s="806"/>
      <c r="AV95" s="806"/>
      <c r="AW95" s="806"/>
      <c r="AX95" s="806"/>
      <c r="AY95" s="584"/>
    </row>
    <row r="96" spans="1:51" ht="28.9" customHeight="1" x14ac:dyDescent="0.25">
      <c r="A96" s="828"/>
      <c r="B96" s="822"/>
      <c r="C96" s="822"/>
      <c r="D96" s="579" t="s">
        <v>351</v>
      </c>
      <c r="E96" s="582"/>
      <c r="F96" s="582"/>
      <c r="G96" s="582"/>
      <c r="H96" s="582"/>
      <c r="I96" s="580"/>
      <c r="J96" s="581"/>
      <c r="K96" s="580"/>
      <c r="L96" s="580"/>
      <c r="M96" s="581"/>
      <c r="N96" s="582"/>
      <c r="O96" s="582"/>
      <c r="P96" s="580"/>
      <c r="Q96" s="580"/>
      <c r="R96" s="580"/>
      <c r="S96" s="580"/>
      <c r="T96" s="575"/>
      <c r="U96" s="580">
        <v>0</v>
      </c>
      <c r="V96" s="580">
        <v>0</v>
      </c>
      <c r="W96" s="581">
        <v>0</v>
      </c>
      <c r="X96" s="580">
        <v>0</v>
      </c>
      <c r="Y96" s="580">
        <v>0</v>
      </c>
      <c r="Z96" s="581">
        <f t="shared" si="21"/>
        <v>0</v>
      </c>
      <c r="AA96" s="580">
        <f t="shared" si="21"/>
        <v>0</v>
      </c>
      <c r="AB96" s="580">
        <f t="shared" si="21"/>
        <v>0</v>
      </c>
      <c r="AC96" s="580">
        <f t="shared" si="21"/>
        <v>0</v>
      </c>
      <c r="AD96" s="580">
        <f t="shared" si="21"/>
        <v>0</v>
      </c>
      <c r="AE96" s="580">
        <f t="shared" si="21"/>
        <v>0</v>
      </c>
      <c r="AF96" s="901"/>
      <c r="AG96" s="828"/>
      <c r="AH96" s="882"/>
      <c r="AI96" s="822"/>
      <c r="AJ96" s="657" t="s">
        <v>502</v>
      </c>
      <c r="AK96" s="806"/>
      <c r="AL96" s="806"/>
      <c r="AM96" s="806"/>
      <c r="AN96" s="806"/>
      <c r="AO96" s="806"/>
      <c r="AP96" s="806"/>
      <c r="AQ96" s="806"/>
      <c r="AR96" s="806"/>
      <c r="AS96" s="806"/>
      <c r="AT96" s="806"/>
      <c r="AU96" s="806"/>
      <c r="AV96" s="806"/>
      <c r="AW96" s="806"/>
      <c r="AX96" s="806"/>
      <c r="AY96" s="584"/>
    </row>
    <row r="97" spans="1:51" ht="30.6" customHeight="1" x14ac:dyDescent="0.25">
      <c r="A97" s="828"/>
      <c r="B97" s="822"/>
      <c r="C97" s="822"/>
      <c r="D97" s="578" t="s">
        <v>352</v>
      </c>
      <c r="E97" s="582"/>
      <c r="F97" s="582"/>
      <c r="G97" s="582"/>
      <c r="H97" s="583">
        <v>6088333.7142857146</v>
      </c>
      <c r="I97" s="575">
        <v>6530118.4117647056</v>
      </c>
      <c r="J97" s="575">
        <v>8720535.2352941185</v>
      </c>
      <c r="K97" s="575">
        <v>11096790.529411765</v>
      </c>
      <c r="L97" s="575">
        <v>13665398.388888888</v>
      </c>
      <c r="M97" s="575">
        <v>13665398.388888888</v>
      </c>
      <c r="N97" s="583">
        <v>13665398.388888888</v>
      </c>
      <c r="O97" s="583">
        <v>13665398.388888888</v>
      </c>
      <c r="P97" s="575">
        <v>12948133.842105264</v>
      </c>
      <c r="Q97" s="575">
        <v>12948133.842105264</v>
      </c>
      <c r="R97" s="575">
        <v>12948133.842105264</v>
      </c>
      <c r="S97" s="575"/>
      <c r="T97" s="575"/>
      <c r="U97" s="580">
        <v>6088333.7142857146</v>
      </c>
      <c r="V97" s="580">
        <v>6530118.4117647056</v>
      </c>
      <c r="W97" s="581">
        <v>8720535.2352941185</v>
      </c>
      <c r="X97" s="580">
        <v>11096790.529411765</v>
      </c>
      <c r="Y97" s="580">
        <v>13665398.388888888</v>
      </c>
      <c r="Z97" s="574">
        <f t="shared" si="21"/>
        <v>13665398.388888888</v>
      </c>
      <c r="AA97" s="580">
        <f t="shared" si="21"/>
        <v>13665398.388888888</v>
      </c>
      <c r="AB97" s="580">
        <f t="shared" si="21"/>
        <v>13665398.388888888</v>
      </c>
      <c r="AC97" s="580">
        <f t="shared" si="21"/>
        <v>12948133.842105264</v>
      </c>
      <c r="AD97" s="580">
        <f t="shared" si="21"/>
        <v>12948133.842105264</v>
      </c>
      <c r="AE97" s="575">
        <f t="shared" si="21"/>
        <v>12948133.842105264</v>
      </c>
      <c r="AF97" s="901"/>
      <c r="AG97" s="828"/>
      <c r="AH97" s="882"/>
      <c r="AI97" s="822"/>
      <c r="AJ97" s="661" t="s">
        <v>503</v>
      </c>
      <c r="AK97" s="806"/>
      <c r="AL97" s="806"/>
      <c r="AM97" s="806"/>
      <c r="AN97" s="806"/>
      <c r="AO97" s="806"/>
      <c r="AP97" s="806"/>
      <c r="AQ97" s="806"/>
      <c r="AR97" s="806"/>
      <c r="AS97" s="806"/>
      <c r="AT97" s="806"/>
      <c r="AU97" s="806"/>
      <c r="AV97" s="806"/>
      <c r="AW97" s="806"/>
      <c r="AX97" s="806"/>
      <c r="AY97" s="584"/>
    </row>
    <row r="98" spans="1:51" ht="72" customHeight="1" x14ac:dyDescent="0.25">
      <c r="A98" s="828"/>
      <c r="B98" s="822"/>
      <c r="C98" s="822"/>
      <c r="D98" s="579" t="s">
        <v>353</v>
      </c>
      <c r="E98" s="582"/>
      <c r="F98" s="582"/>
      <c r="G98" s="582"/>
      <c r="H98" s="582">
        <v>2</v>
      </c>
      <c r="I98" s="580">
        <v>2</v>
      </c>
      <c r="J98" s="581">
        <v>3</v>
      </c>
      <c r="K98" s="580">
        <v>3</v>
      </c>
      <c r="L98" s="580">
        <v>3</v>
      </c>
      <c r="M98" s="581">
        <v>4</v>
      </c>
      <c r="N98" s="582">
        <v>4</v>
      </c>
      <c r="O98" s="582">
        <v>5</v>
      </c>
      <c r="P98" s="580">
        <v>5</v>
      </c>
      <c r="Q98" s="580">
        <v>5</v>
      </c>
      <c r="R98" s="580">
        <v>5</v>
      </c>
      <c r="S98" s="580"/>
      <c r="T98" s="575"/>
      <c r="U98" s="580">
        <v>2</v>
      </c>
      <c r="V98" s="580">
        <v>2</v>
      </c>
      <c r="W98" s="581">
        <v>3</v>
      </c>
      <c r="X98" s="580">
        <v>3</v>
      </c>
      <c r="Y98" s="580">
        <v>3</v>
      </c>
      <c r="Z98" s="581">
        <f t="shared" si="21"/>
        <v>4</v>
      </c>
      <c r="AA98" s="580">
        <f t="shared" si="21"/>
        <v>4</v>
      </c>
      <c r="AB98" s="580">
        <f t="shared" si="21"/>
        <v>5</v>
      </c>
      <c r="AC98" s="580">
        <f t="shared" si="21"/>
        <v>5</v>
      </c>
      <c r="AD98" s="580">
        <f t="shared" si="21"/>
        <v>5</v>
      </c>
      <c r="AE98" s="580">
        <f t="shared" si="21"/>
        <v>5</v>
      </c>
      <c r="AF98" s="901"/>
      <c r="AG98" s="828"/>
      <c r="AH98" s="882"/>
      <c r="AI98" s="822"/>
      <c r="AJ98" s="662" t="s">
        <v>504</v>
      </c>
      <c r="AK98" s="806"/>
      <c r="AL98" s="806"/>
      <c r="AM98" s="806"/>
      <c r="AN98" s="806"/>
      <c r="AO98" s="806"/>
      <c r="AP98" s="806"/>
      <c r="AQ98" s="806"/>
      <c r="AR98" s="806"/>
      <c r="AS98" s="806"/>
      <c r="AT98" s="806"/>
      <c r="AU98" s="806"/>
      <c r="AV98" s="806"/>
      <c r="AW98" s="806"/>
      <c r="AX98" s="806"/>
      <c r="AY98" s="584"/>
    </row>
    <row r="99" spans="1:51" ht="28.9" customHeight="1" x14ac:dyDescent="0.25">
      <c r="A99" s="828"/>
      <c r="B99" s="822"/>
      <c r="C99" s="823"/>
      <c r="D99" s="578" t="s">
        <v>354</v>
      </c>
      <c r="E99" s="582"/>
      <c r="F99" s="582"/>
      <c r="G99" s="582"/>
      <c r="H99" s="582">
        <v>75887879.16883117</v>
      </c>
      <c r="I99" s="580">
        <v>44919868.411764704</v>
      </c>
      <c r="J99" s="580">
        <v>49130798.393188857</v>
      </c>
      <c r="K99" s="580">
        <v>41808590.529411763</v>
      </c>
      <c r="L99" s="580">
        <v>38940527.421146952</v>
      </c>
      <c r="M99" s="580">
        <f t="shared" ref="M99:R99" si="24">+M95+M97</f>
        <v>41900677.668168172</v>
      </c>
      <c r="N99" s="582">
        <f t="shared" si="24"/>
        <v>37960871.257105947</v>
      </c>
      <c r="O99" s="582">
        <f t="shared" si="24"/>
        <v>41284071.858276643</v>
      </c>
      <c r="P99" s="580">
        <f t="shared" si="24"/>
        <v>37553861.114832535</v>
      </c>
      <c r="Q99" s="580">
        <f t="shared" si="24"/>
        <v>36147819.556390978</v>
      </c>
      <c r="R99" s="580">
        <f t="shared" si="24"/>
        <v>35916216.733997159</v>
      </c>
      <c r="S99" s="580"/>
      <c r="T99" s="575"/>
      <c r="U99" s="580">
        <v>75887879.16883117</v>
      </c>
      <c r="V99" s="580">
        <v>44919868.411764704</v>
      </c>
      <c r="W99" s="581">
        <v>49130798.393188857</v>
      </c>
      <c r="X99" s="580">
        <v>41808590.529411763</v>
      </c>
      <c r="Y99" s="580">
        <v>38940527.421146952</v>
      </c>
      <c r="Z99" s="580">
        <f t="shared" si="21"/>
        <v>41900677.668168172</v>
      </c>
      <c r="AA99" s="580">
        <f t="shared" si="21"/>
        <v>37960871.257105947</v>
      </c>
      <c r="AB99" s="580">
        <f t="shared" si="21"/>
        <v>41284071.858276643</v>
      </c>
      <c r="AC99" s="580">
        <f t="shared" si="21"/>
        <v>37553861.114832535</v>
      </c>
      <c r="AD99" s="580">
        <f t="shared" si="21"/>
        <v>36147819.556390978</v>
      </c>
      <c r="AE99" s="580">
        <f t="shared" si="21"/>
        <v>35916216.733997159</v>
      </c>
      <c r="AF99" s="901"/>
      <c r="AG99" s="829"/>
      <c r="AH99" s="883"/>
      <c r="AI99" s="823"/>
      <c r="AJ99" s="659" t="s">
        <v>505</v>
      </c>
      <c r="AK99" s="807"/>
      <c r="AL99" s="807"/>
      <c r="AM99" s="807"/>
      <c r="AN99" s="807"/>
      <c r="AO99" s="807"/>
      <c r="AP99" s="807"/>
      <c r="AQ99" s="807"/>
      <c r="AR99" s="807"/>
      <c r="AS99" s="807"/>
      <c r="AT99" s="807"/>
      <c r="AU99" s="807"/>
      <c r="AV99" s="807"/>
      <c r="AW99" s="807"/>
      <c r="AX99" s="807"/>
      <c r="AY99" s="584"/>
    </row>
    <row r="100" spans="1:51" ht="22.9" customHeight="1" x14ac:dyDescent="0.25">
      <c r="A100" s="828"/>
      <c r="B100" s="822"/>
      <c r="C100" s="821" t="s">
        <v>574</v>
      </c>
      <c r="D100" s="572" t="s">
        <v>345</v>
      </c>
      <c r="E100" s="582"/>
      <c r="F100" s="582"/>
      <c r="G100" s="582"/>
      <c r="H100" s="582">
        <v>2</v>
      </c>
      <c r="I100" s="580">
        <v>5</v>
      </c>
      <c r="J100" s="581">
        <v>5</v>
      </c>
      <c r="K100" s="580">
        <v>5</v>
      </c>
      <c r="L100" s="580">
        <v>5</v>
      </c>
      <c r="M100" s="581">
        <v>5</v>
      </c>
      <c r="N100" s="582">
        <v>6</v>
      </c>
      <c r="O100" s="582">
        <v>6</v>
      </c>
      <c r="P100" s="580">
        <v>7</v>
      </c>
      <c r="Q100" s="580">
        <v>9</v>
      </c>
      <c r="R100" s="580">
        <v>9</v>
      </c>
      <c r="S100" s="580"/>
      <c r="T100" s="575"/>
      <c r="U100" s="580">
        <v>2</v>
      </c>
      <c r="V100" s="580">
        <v>5</v>
      </c>
      <c r="W100" s="581">
        <v>5</v>
      </c>
      <c r="X100" s="580">
        <v>5</v>
      </c>
      <c r="Y100" s="580">
        <v>5</v>
      </c>
      <c r="Z100" s="581">
        <f t="shared" si="21"/>
        <v>5</v>
      </c>
      <c r="AA100" s="580">
        <f t="shared" si="21"/>
        <v>6</v>
      </c>
      <c r="AB100" s="580">
        <f t="shared" si="21"/>
        <v>6</v>
      </c>
      <c r="AC100" s="580">
        <f t="shared" si="21"/>
        <v>7</v>
      </c>
      <c r="AD100" s="580">
        <f t="shared" si="21"/>
        <v>9</v>
      </c>
      <c r="AE100" s="580">
        <f t="shared" si="21"/>
        <v>9</v>
      </c>
      <c r="AF100" s="899" t="s">
        <v>575</v>
      </c>
      <c r="AG100" s="827" t="s">
        <v>576</v>
      </c>
      <c r="AH100" s="824" t="s">
        <v>577</v>
      </c>
      <c r="AI100" s="824" t="s">
        <v>578</v>
      </c>
      <c r="AJ100" s="656" t="s">
        <v>499</v>
      </c>
      <c r="AK100" s="826" t="s">
        <v>490</v>
      </c>
      <c r="AL100" s="826" t="s">
        <v>178</v>
      </c>
      <c r="AM100" s="826" t="s">
        <v>491</v>
      </c>
      <c r="AN100" s="861">
        <v>82848</v>
      </c>
      <c r="AO100" s="861">
        <v>34462</v>
      </c>
      <c r="AP100" s="861">
        <v>48386</v>
      </c>
      <c r="AQ100" s="840" t="s">
        <v>492</v>
      </c>
      <c r="AR100" s="840" t="s">
        <v>492</v>
      </c>
      <c r="AS100" s="840" t="s">
        <v>492</v>
      </c>
      <c r="AT100" s="840" t="s">
        <v>492</v>
      </c>
      <c r="AU100" s="833" t="s">
        <v>492</v>
      </c>
      <c r="AV100" s="833" t="s">
        <v>492</v>
      </c>
      <c r="AW100" s="833" t="s">
        <v>492</v>
      </c>
      <c r="AX100" s="861">
        <v>82848</v>
      </c>
      <c r="AY100" s="584"/>
    </row>
    <row r="101" spans="1:51" ht="20.45" customHeight="1" x14ac:dyDescent="0.25">
      <c r="A101" s="828"/>
      <c r="B101" s="822"/>
      <c r="C101" s="822"/>
      <c r="D101" s="578" t="s">
        <v>349</v>
      </c>
      <c r="E101" s="582"/>
      <c r="F101" s="582"/>
      <c r="G101" s="582"/>
      <c r="H101" s="582">
        <v>69799545.454545453</v>
      </c>
      <c r="I101" s="580">
        <v>95974375</v>
      </c>
      <c r="J101" s="580">
        <v>67350438.596491233</v>
      </c>
      <c r="K101" s="580">
        <v>51186333.333333336</v>
      </c>
      <c r="L101" s="580">
        <v>42125215.053763442</v>
      </c>
      <c r="M101" s="580">
        <f>+M100*$Z$11/$Z$10</f>
        <v>35294099.0990991</v>
      </c>
      <c r="N101" s="582">
        <f>+N100*$AA$11/$AA$10</f>
        <v>36443209.302325584</v>
      </c>
      <c r="O101" s="582">
        <f>+O100*$AB$11/$AB$10</f>
        <v>33142408.163265307</v>
      </c>
      <c r="P101" s="580">
        <f>+P100*$AC$11/$AC$10</f>
        <v>34448018.18181818</v>
      </c>
      <c r="Q101" s="580">
        <f>+Q100*$AD$11/$AD$10</f>
        <v>41759434.285714284</v>
      </c>
      <c r="R101" s="580">
        <f>+R100*$AE$11/$AE$10</f>
        <v>41342549.205405407</v>
      </c>
      <c r="S101" s="580"/>
      <c r="T101" s="575"/>
      <c r="U101" s="580">
        <v>69799545.454545453</v>
      </c>
      <c r="V101" s="580">
        <v>95974375</v>
      </c>
      <c r="W101" s="581">
        <v>67350438.596491233</v>
      </c>
      <c r="X101" s="580">
        <v>51186333.333333336</v>
      </c>
      <c r="Y101" s="580">
        <v>42125215.053763442</v>
      </c>
      <c r="Z101" s="580">
        <f t="shared" si="21"/>
        <v>35294099.0990991</v>
      </c>
      <c r="AA101" s="580">
        <f t="shared" si="21"/>
        <v>36443209.302325584</v>
      </c>
      <c r="AB101" s="580">
        <f t="shared" si="21"/>
        <v>33142408.163265307</v>
      </c>
      <c r="AC101" s="580">
        <f t="shared" si="21"/>
        <v>34448018.18181818</v>
      </c>
      <c r="AD101" s="580">
        <f t="shared" si="21"/>
        <v>41759434.285714284</v>
      </c>
      <c r="AE101" s="580">
        <f t="shared" si="21"/>
        <v>41342549.205405407</v>
      </c>
      <c r="AF101" s="838"/>
      <c r="AG101" s="828"/>
      <c r="AH101" s="822"/>
      <c r="AI101" s="822"/>
      <c r="AJ101" s="661" t="s">
        <v>528</v>
      </c>
      <c r="AK101" s="806"/>
      <c r="AL101" s="806"/>
      <c r="AM101" s="806"/>
      <c r="AN101" s="806"/>
      <c r="AO101" s="806"/>
      <c r="AP101" s="806"/>
      <c r="AQ101" s="806"/>
      <c r="AR101" s="806"/>
      <c r="AS101" s="806"/>
      <c r="AT101" s="806"/>
      <c r="AU101" s="806"/>
      <c r="AV101" s="806"/>
      <c r="AW101" s="806"/>
      <c r="AX101" s="806"/>
      <c r="AY101" s="584"/>
    </row>
    <row r="102" spans="1:51" ht="28.9" customHeight="1" x14ac:dyDescent="0.25">
      <c r="A102" s="828"/>
      <c r="B102" s="822"/>
      <c r="C102" s="822"/>
      <c r="D102" s="579" t="s">
        <v>351</v>
      </c>
      <c r="E102" s="582"/>
      <c r="F102" s="582"/>
      <c r="G102" s="582"/>
      <c r="H102" s="582"/>
      <c r="I102" s="580"/>
      <c r="J102" s="581"/>
      <c r="K102" s="580"/>
      <c r="L102" s="580"/>
      <c r="M102" s="581"/>
      <c r="N102" s="582"/>
      <c r="O102" s="582"/>
      <c r="P102" s="580"/>
      <c r="Q102" s="580"/>
      <c r="R102" s="580"/>
      <c r="S102" s="580"/>
      <c r="T102" s="575"/>
      <c r="U102" s="580">
        <v>0</v>
      </c>
      <c r="V102" s="580">
        <v>0</v>
      </c>
      <c r="W102" s="581">
        <v>0</v>
      </c>
      <c r="X102" s="580">
        <v>0</v>
      </c>
      <c r="Y102" s="580">
        <v>0</v>
      </c>
      <c r="Z102" s="581">
        <f t="shared" ref="Z102:AE117" si="25">+M102</f>
        <v>0</v>
      </c>
      <c r="AA102" s="580">
        <f t="shared" si="25"/>
        <v>0</v>
      </c>
      <c r="AB102" s="580">
        <f t="shared" si="25"/>
        <v>0</v>
      </c>
      <c r="AC102" s="580">
        <f t="shared" si="25"/>
        <v>0</v>
      </c>
      <c r="AD102" s="580">
        <f t="shared" si="25"/>
        <v>0</v>
      </c>
      <c r="AE102" s="580">
        <f t="shared" si="25"/>
        <v>0</v>
      </c>
      <c r="AF102" s="838"/>
      <c r="AG102" s="828"/>
      <c r="AH102" s="822"/>
      <c r="AI102" s="822"/>
      <c r="AJ102" s="657" t="s">
        <v>502</v>
      </c>
      <c r="AK102" s="806"/>
      <c r="AL102" s="806"/>
      <c r="AM102" s="806"/>
      <c r="AN102" s="806"/>
      <c r="AO102" s="806"/>
      <c r="AP102" s="806"/>
      <c r="AQ102" s="806"/>
      <c r="AR102" s="806"/>
      <c r="AS102" s="806"/>
      <c r="AT102" s="806"/>
      <c r="AU102" s="806"/>
      <c r="AV102" s="806"/>
      <c r="AW102" s="806"/>
      <c r="AX102" s="806"/>
      <c r="AY102" s="584"/>
    </row>
    <row r="103" spans="1:51" ht="30.6" customHeight="1" x14ac:dyDescent="0.25">
      <c r="A103" s="828"/>
      <c r="B103" s="822"/>
      <c r="C103" s="822"/>
      <c r="D103" s="578" t="s">
        <v>352</v>
      </c>
      <c r="E103" s="582"/>
      <c r="F103" s="582"/>
      <c r="G103" s="582"/>
      <c r="H103" s="582">
        <v>6088333.7142857146</v>
      </c>
      <c r="I103" s="575">
        <v>6530118.4117647056</v>
      </c>
      <c r="J103" s="575">
        <v>8720535.2352941185</v>
      </c>
      <c r="K103" s="575">
        <v>11096790.529411765</v>
      </c>
      <c r="L103" s="575">
        <v>13665398.388888888</v>
      </c>
      <c r="M103" s="575">
        <v>13665398.388888888</v>
      </c>
      <c r="N103" s="583">
        <v>13665398.388888888</v>
      </c>
      <c r="O103" s="583">
        <v>13665398.388888888</v>
      </c>
      <c r="P103" s="575">
        <v>12948133.842105264</v>
      </c>
      <c r="Q103" s="575">
        <v>12948133.842105264</v>
      </c>
      <c r="R103" s="575">
        <v>12948133.842105264</v>
      </c>
      <c r="S103" s="575"/>
      <c r="T103" s="575"/>
      <c r="U103" s="580">
        <v>6088333.7142857146</v>
      </c>
      <c r="V103" s="580">
        <v>6530118.4117647056</v>
      </c>
      <c r="W103" s="581">
        <v>8720535.2352941185</v>
      </c>
      <c r="X103" s="580">
        <v>11096790.529411765</v>
      </c>
      <c r="Y103" s="580">
        <v>13665398.388888888</v>
      </c>
      <c r="Z103" s="574">
        <f t="shared" si="25"/>
        <v>13665398.388888888</v>
      </c>
      <c r="AA103" s="580">
        <f t="shared" si="25"/>
        <v>13665398.388888888</v>
      </c>
      <c r="AB103" s="580">
        <f t="shared" si="25"/>
        <v>13665398.388888888</v>
      </c>
      <c r="AC103" s="580">
        <f t="shared" si="25"/>
        <v>12948133.842105264</v>
      </c>
      <c r="AD103" s="580">
        <f t="shared" si="25"/>
        <v>12948133.842105264</v>
      </c>
      <c r="AE103" s="575">
        <f t="shared" si="25"/>
        <v>12948133.842105264</v>
      </c>
      <c r="AF103" s="838"/>
      <c r="AG103" s="828"/>
      <c r="AH103" s="822"/>
      <c r="AI103" s="822"/>
      <c r="AJ103" s="661" t="s">
        <v>503</v>
      </c>
      <c r="AK103" s="806"/>
      <c r="AL103" s="806"/>
      <c r="AM103" s="806"/>
      <c r="AN103" s="806"/>
      <c r="AO103" s="806"/>
      <c r="AP103" s="806"/>
      <c r="AQ103" s="806"/>
      <c r="AR103" s="806"/>
      <c r="AS103" s="806"/>
      <c r="AT103" s="806"/>
      <c r="AU103" s="806"/>
      <c r="AV103" s="806"/>
      <c r="AW103" s="806"/>
      <c r="AX103" s="806"/>
      <c r="AY103" s="584"/>
    </row>
    <row r="104" spans="1:51" ht="72" customHeight="1" x14ac:dyDescent="0.25">
      <c r="A104" s="828"/>
      <c r="B104" s="822"/>
      <c r="C104" s="822"/>
      <c r="D104" s="579" t="s">
        <v>353</v>
      </c>
      <c r="E104" s="582"/>
      <c r="F104" s="582"/>
      <c r="G104" s="582"/>
      <c r="H104" s="582">
        <v>2</v>
      </c>
      <c r="I104" s="580">
        <v>5</v>
      </c>
      <c r="J104" s="581">
        <v>5</v>
      </c>
      <c r="K104" s="580">
        <v>5</v>
      </c>
      <c r="L104" s="580">
        <v>5</v>
      </c>
      <c r="M104" s="581">
        <v>5</v>
      </c>
      <c r="N104" s="582">
        <v>6</v>
      </c>
      <c r="O104" s="582">
        <v>6</v>
      </c>
      <c r="P104" s="580">
        <v>7</v>
      </c>
      <c r="Q104" s="580">
        <v>9</v>
      </c>
      <c r="R104" s="580">
        <v>9</v>
      </c>
      <c r="S104" s="580"/>
      <c r="T104" s="575"/>
      <c r="U104" s="580">
        <v>2</v>
      </c>
      <c r="V104" s="580">
        <v>5</v>
      </c>
      <c r="W104" s="581">
        <v>5</v>
      </c>
      <c r="X104" s="580">
        <v>5</v>
      </c>
      <c r="Y104" s="580">
        <v>5</v>
      </c>
      <c r="Z104" s="581">
        <f t="shared" si="25"/>
        <v>5</v>
      </c>
      <c r="AA104" s="580">
        <f t="shared" si="25"/>
        <v>6</v>
      </c>
      <c r="AB104" s="580">
        <f t="shared" si="25"/>
        <v>6</v>
      </c>
      <c r="AC104" s="580">
        <f t="shared" si="25"/>
        <v>7</v>
      </c>
      <c r="AD104" s="580">
        <f t="shared" si="25"/>
        <v>9</v>
      </c>
      <c r="AE104" s="580">
        <f t="shared" si="25"/>
        <v>9</v>
      </c>
      <c r="AF104" s="838"/>
      <c r="AG104" s="828"/>
      <c r="AH104" s="822"/>
      <c r="AI104" s="822"/>
      <c r="AJ104" s="662" t="s">
        <v>504</v>
      </c>
      <c r="AK104" s="806"/>
      <c r="AL104" s="806"/>
      <c r="AM104" s="806"/>
      <c r="AN104" s="806"/>
      <c r="AO104" s="806"/>
      <c r="AP104" s="806"/>
      <c r="AQ104" s="806"/>
      <c r="AR104" s="806"/>
      <c r="AS104" s="806"/>
      <c r="AT104" s="806"/>
      <c r="AU104" s="806"/>
      <c r="AV104" s="806"/>
      <c r="AW104" s="806"/>
      <c r="AX104" s="806"/>
      <c r="AY104" s="584"/>
    </row>
    <row r="105" spans="1:51" ht="28.9" customHeight="1" x14ac:dyDescent="0.25">
      <c r="A105" s="828"/>
      <c r="B105" s="822"/>
      <c r="C105" s="823"/>
      <c r="D105" s="578" t="s">
        <v>354</v>
      </c>
      <c r="E105" s="582"/>
      <c r="F105" s="582"/>
      <c r="G105" s="582"/>
      <c r="H105" s="582">
        <v>75887879.16883117</v>
      </c>
      <c r="I105" s="580">
        <v>102504493.41176471</v>
      </c>
      <c r="J105" s="580">
        <v>76070973.831785351</v>
      </c>
      <c r="K105" s="580">
        <v>62283123.862745099</v>
      </c>
      <c r="L105" s="580">
        <v>55790613.44265233</v>
      </c>
      <c r="M105" s="580">
        <f t="shared" ref="M105:R105" si="26">+M101+M103</f>
        <v>48959497.487987988</v>
      </c>
      <c r="N105" s="582">
        <f t="shared" si="26"/>
        <v>50108607.691214472</v>
      </c>
      <c r="O105" s="582">
        <f t="shared" si="26"/>
        <v>46807806.552154198</v>
      </c>
      <c r="P105" s="580">
        <f t="shared" si="26"/>
        <v>47396152.023923442</v>
      </c>
      <c r="Q105" s="580">
        <f t="shared" si="26"/>
        <v>54707568.127819546</v>
      </c>
      <c r="R105" s="580">
        <f t="shared" si="26"/>
        <v>54290683.047510669</v>
      </c>
      <c r="S105" s="580"/>
      <c r="T105" s="575"/>
      <c r="U105" s="580">
        <v>75887879.16883117</v>
      </c>
      <c r="V105" s="580">
        <v>102504493.41176471</v>
      </c>
      <c r="W105" s="581">
        <v>76070973.831785351</v>
      </c>
      <c r="X105" s="580">
        <v>62283123.862745099</v>
      </c>
      <c r="Y105" s="580">
        <v>55790613.44265233</v>
      </c>
      <c r="Z105" s="580">
        <f t="shared" si="25"/>
        <v>48959497.487987988</v>
      </c>
      <c r="AA105" s="580">
        <f t="shared" si="25"/>
        <v>50108607.691214472</v>
      </c>
      <c r="AB105" s="580">
        <f t="shared" si="25"/>
        <v>46807806.552154198</v>
      </c>
      <c r="AC105" s="580">
        <f t="shared" si="25"/>
        <v>47396152.023923442</v>
      </c>
      <c r="AD105" s="580">
        <f t="shared" si="25"/>
        <v>54707568.127819546</v>
      </c>
      <c r="AE105" s="580">
        <f t="shared" si="25"/>
        <v>54290683.047510669</v>
      </c>
      <c r="AF105" s="838"/>
      <c r="AG105" s="829"/>
      <c r="AH105" s="823"/>
      <c r="AI105" s="823"/>
      <c r="AJ105" s="659" t="s">
        <v>505</v>
      </c>
      <c r="AK105" s="807"/>
      <c r="AL105" s="807"/>
      <c r="AM105" s="807"/>
      <c r="AN105" s="807"/>
      <c r="AO105" s="807"/>
      <c r="AP105" s="807"/>
      <c r="AQ105" s="807"/>
      <c r="AR105" s="807"/>
      <c r="AS105" s="807"/>
      <c r="AT105" s="807"/>
      <c r="AU105" s="807"/>
      <c r="AV105" s="807"/>
      <c r="AW105" s="807"/>
      <c r="AX105" s="807"/>
      <c r="AY105" s="584"/>
    </row>
    <row r="106" spans="1:51" ht="22.9" customHeight="1" x14ac:dyDescent="0.25">
      <c r="A106" s="828"/>
      <c r="B106" s="822"/>
      <c r="C106" s="821" t="s">
        <v>579</v>
      </c>
      <c r="D106" s="572" t="s">
        <v>345</v>
      </c>
      <c r="E106" s="582"/>
      <c r="F106" s="582"/>
      <c r="G106" s="582"/>
      <c r="H106" s="582"/>
      <c r="I106" s="580">
        <v>1</v>
      </c>
      <c r="J106" s="580">
        <v>1</v>
      </c>
      <c r="K106" s="580">
        <v>1</v>
      </c>
      <c r="L106" s="580">
        <v>1</v>
      </c>
      <c r="M106" s="581">
        <v>1</v>
      </c>
      <c r="N106" s="582">
        <v>1</v>
      </c>
      <c r="O106" s="582">
        <v>1</v>
      </c>
      <c r="P106" s="580">
        <v>1</v>
      </c>
      <c r="Q106" s="580">
        <v>1</v>
      </c>
      <c r="R106" s="580">
        <v>1</v>
      </c>
      <c r="S106" s="580"/>
      <c r="T106" s="575"/>
      <c r="U106" s="580">
        <v>0</v>
      </c>
      <c r="V106" s="580">
        <v>1</v>
      </c>
      <c r="W106" s="581">
        <v>1</v>
      </c>
      <c r="X106" s="580">
        <v>1</v>
      </c>
      <c r="Y106" s="580">
        <v>1</v>
      </c>
      <c r="Z106" s="581">
        <f t="shared" si="25"/>
        <v>1</v>
      </c>
      <c r="AA106" s="580">
        <f t="shared" si="25"/>
        <v>1</v>
      </c>
      <c r="AB106" s="580">
        <f t="shared" si="25"/>
        <v>1</v>
      </c>
      <c r="AC106" s="580">
        <f t="shared" si="25"/>
        <v>1</v>
      </c>
      <c r="AD106" s="580">
        <f t="shared" si="25"/>
        <v>1</v>
      </c>
      <c r="AE106" s="580">
        <f t="shared" si="25"/>
        <v>1</v>
      </c>
      <c r="AF106" s="899" t="s">
        <v>580</v>
      </c>
      <c r="AG106" s="827" t="s">
        <v>581</v>
      </c>
      <c r="AH106" s="824" t="s">
        <v>582</v>
      </c>
      <c r="AI106" s="824" t="s">
        <v>583</v>
      </c>
      <c r="AJ106" s="656" t="s">
        <v>499</v>
      </c>
      <c r="AK106" s="826" t="s">
        <v>490</v>
      </c>
      <c r="AL106" s="826" t="s">
        <v>178</v>
      </c>
      <c r="AM106" s="826" t="s">
        <v>491</v>
      </c>
      <c r="AN106" s="861">
        <v>83925</v>
      </c>
      <c r="AO106" s="820">
        <v>38960</v>
      </c>
      <c r="AP106" s="820">
        <v>44965</v>
      </c>
      <c r="AQ106" s="840" t="s">
        <v>492</v>
      </c>
      <c r="AR106" s="840" t="s">
        <v>492</v>
      </c>
      <c r="AS106" s="840" t="s">
        <v>492</v>
      </c>
      <c r="AT106" s="840" t="s">
        <v>492</v>
      </c>
      <c r="AU106" s="833" t="s">
        <v>492</v>
      </c>
      <c r="AV106" s="833" t="s">
        <v>492</v>
      </c>
      <c r="AW106" s="833" t="s">
        <v>492</v>
      </c>
      <c r="AX106" s="861">
        <v>83925</v>
      </c>
      <c r="AY106" s="584"/>
    </row>
    <row r="107" spans="1:51" ht="20.45" customHeight="1" x14ac:dyDescent="0.25">
      <c r="A107" s="828"/>
      <c r="B107" s="822"/>
      <c r="C107" s="822"/>
      <c r="D107" s="578" t="s">
        <v>349</v>
      </c>
      <c r="E107" s="582"/>
      <c r="F107" s="582"/>
      <c r="G107" s="582"/>
      <c r="H107" s="582"/>
      <c r="I107" s="580">
        <v>19194875</v>
      </c>
      <c r="J107" s="580">
        <v>13470087.719298245</v>
      </c>
      <c r="K107" s="580">
        <v>10237266.666666666</v>
      </c>
      <c r="L107" s="580">
        <v>8425043.0107526891</v>
      </c>
      <c r="M107" s="580">
        <f>+M106*$Z$11/$Z$10</f>
        <v>7058819.8198198201</v>
      </c>
      <c r="N107" s="582">
        <f>+N106*$AA$11/$AA$10</f>
        <v>6073868.2170542637</v>
      </c>
      <c r="O107" s="582">
        <f>+O106*$AB$11/$AB$10</f>
        <v>5523734.6938775508</v>
      </c>
      <c r="P107" s="580">
        <f>+P106*$AC$11/$AC$10</f>
        <v>4921145.4545454541</v>
      </c>
      <c r="Q107" s="580">
        <f>+Q106*$AD$11/$AD$10</f>
        <v>4639937.1428571427</v>
      </c>
      <c r="R107" s="580">
        <f>+R106*$AE$11/$AE$10</f>
        <v>4593616.5783783784</v>
      </c>
      <c r="S107" s="580"/>
      <c r="T107" s="575"/>
      <c r="U107" s="580">
        <v>0</v>
      </c>
      <c r="V107" s="580">
        <v>19194875</v>
      </c>
      <c r="W107" s="581">
        <v>13470087.719298245</v>
      </c>
      <c r="X107" s="580">
        <v>10237266.666666666</v>
      </c>
      <c r="Y107" s="580">
        <v>8425043.0107526891</v>
      </c>
      <c r="Z107" s="580">
        <f t="shared" si="25"/>
        <v>7058819.8198198201</v>
      </c>
      <c r="AA107" s="580">
        <f t="shared" si="25"/>
        <v>6073868.2170542637</v>
      </c>
      <c r="AB107" s="580">
        <f t="shared" si="25"/>
        <v>5523734.6938775508</v>
      </c>
      <c r="AC107" s="580">
        <f t="shared" si="25"/>
        <v>4921145.4545454541</v>
      </c>
      <c r="AD107" s="580">
        <f t="shared" si="25"/>
        <v>4639937.1428571427</v>
      </c>
      <c r="AE107" s="580">
        <f t="shared" si="25"/>
        <v>4593616.5783783784</v>
      </c>
      <c r="AF107" s="838"/>
      <c r="AG107" s="828"/>
      <c r="AH107" s="822"/>
      <c r="AI107" s="822"/>
      <c r="AJ107" s="661" t="s">
        <v>528</v>
      </c>
      <c r="AK107" s="806"/>
      <c r="AL107" s="806"/>
      <c r="AM107" s="806"/>
      <c r="AN107" s="806"/>
      <c r="AO107" s="806"/>
      <c r="AP107" s="806"/>
      <c r="AQ107" s="806"/>
      <c r="AR107" s="806"/>
      <c r="AS107" s="806"/>
      <c r="AT107" s="806"/>
      <c r="AU107" s="806"/>
      <c r="AV107" s="806"/>
      <c r="AW107" s="806"/>
      <c r="AX107" s="806"/>
      <c r="AY107" s="584"/>
    </row>
    <row r="108" spans="1:51" ht="28.9" customHeight="1" x14ac:dyDescent="0.25">
      <c r="A108" s="828"/>
      <c r="B108" s="822"/>
      <c r="C108" s="822"/>
      <c r="D108" s="579" t="s">
        <v>351</v>
      </c>
      <c r="E108" s="582"/>
      <c r="F108" s="582"/>
      <c r="G108" s="582"/>
      <c r="H108" s="582"/>
      <c r="I108" s="580"/>
      <c r="J108" s="581"/>
      <c r="K108" s="580"/>
      <c r="L108" s="580"/>
      <c r="M108" s="581"/>
      <c r="N108" s="582"/>
      <c r="O108" s="582"/>
      <c r="P108" s="580"/>
      <c r="Q108" s="580"/>
      <c r="R108" s="580"/>
      <c r="S108" s="580"/>
      <c r="T108" s="575"/>
      <c r="U108" s="580">
        <v>0</v>
      </c>
      <c r="V108" s="580">
        <v>0</v>
      </c>
      <c r="W108" s="581">
        <v>0</v>
      </c>
      <c r="X108" s="580">
        <v>0</v>
      </c>
      <c r="Y108" s="580">
        <v>0</v>
      </c>
      <c r="Z108" s="581">
        <f t="shared" si="25"/>
        <v>0</v>
      </c>
      <c r="AA108" s="580">
        <f t="shared" si="25"/>
        <v>0</v>
      </c>
      <c r="AB108" s="580">
        <f t="shared" si="25"/>
        <v>0</v>
      </c>
      <c r="AC108" s="580">
        <f t="shared" si="25"/>
        <v>0</v>
      </c>
      <c r="AD108" s="580">
        <f t="shared" si="25"/>
        <v>0</v>
      </c>
      <c r="AE108" s="580">
        <f t="shared" si="25"/>
        <v>0</v>
      </c>
      <c r="AF108" s="838"/>
      <c r="AG108" s="828"/>
      <c r="AH108" s="822"/>
      <c r="AI108" s="822"/>
      <c r="AJ108" s="657" t="s">
        <v>502</v>
      </c>
      <c r="AK108" s="806"/>
      <c r="AL108" s="806"/>
      <c r="AM108" s="806"/>
      <c r="AN108" s="806"/>
      <c r="AO108" s="806"/>
      <c r="AP108" s="806"/>
      <c r="AQ108" s="806"/>
      <c r="AR108" s="806"/>
      <c r="AS108" s="806"/>
      <c r="AT108" s="806"/>
      <c r="AU108" s="806"/>
      <c r="AV108" s="806"/>
      <c r="AW108" s="806"/>
      <c r="AX108" s="806"/>
      <c r="AY108" s="584"/>
    </row>
    <row r="109" spans="1:51" ht="30.6" customHeight="1" x14ac:dyDescent="0.25">
      <c r="A109" s="828"/>
      <c r="B109" s="822"/>
      <c r="C109" s="822"/>
      <c r="D109" s="578" t="s">
        <v>352</v>
      </c>
      <c r="E109" s="582"/>
      <c r="F109" s="582"/>
      <c r="G109" s="582"/>
      <c r="H109" s="582"/>
      <c r="I109" s="575">
        <v>6530118.4117647056</v>
      </c>
      <c r="J109" s="575">
        <v>8720535.2352941185</v>
      </c>
      <c r="K109" s="575">
        <v>11096790.529411765</v>
      </c>
      <c r="L109" s="575">
        <v>13665398.388888888</v>
      </c>
      <c r="M109" s="575">
        <v>13665398.388888888</v>
      </c>
      <c r="N109" s="583">
        <v>13665398.388888888</v>
      </c>
      <c r="O109" s="583">
        <v>13665398.388888888</v>
      </c>
      <c r="P109" s="575">
        <v>12948133.842105264</v>
      </c>
      <c r="Q109" s="575">
        <v>12948133.842105264</v>
      </c>
      <c r="R109" s="575">
        <v>12948133.842105264</v>
      </c>
      <c r="S109" s="575"/>
      <c r="T109" s="575"/>
      <c r="U109" s="580">
        <v>0</v>
      </c>
      <c r="V109" s="580">
        <v>6530118.4117647056</v>
      </c>
      <c r="W109" s="581">
        <v>8720535.2352941185</v>
      </c>
      <c r="X109" s="580">
        <v>11096790.529411765</v>
      </c>
      <c r="Y109" s="580">
        <v>13665398.388888888</v>
      </c>
      <c r="Z109" s="574">
        <f t="shared" si="25"/>
        <v>13665398.388888888</v>
      </c>
      <c r="AA109" s="580">
        <f t="shared" si="25"/>
        <v>13665398.388888888</v>
      </c>
      <c r="AB109" s="580">
        <f t="shared" si="25"/>
        <v>13665398.388888888</v>
      </c>
      <c r="AC109" s="580">
        <f t="shared" si="25"/>
        <v>12948133.842105264</v>
      </c>
      <c r="AD109" s="580">
        <f t="shared" si="25"/>
        <v>12948133.842105264</v>
      </c>
      <c r="AE109" s="575">
        <f t="shared" si="25"/>
        <v>12948133.842105264</v>
      </c>
      <c r="AF109" s="838"/>
      <c r="AG109" s="828"/>
      <c r="AH109" s="822"/>
      <c r="AI109" s="822"/>
      <c r="AJ109" s="661" t="s">
        <v>503</v>
      </c>
      <c r="AK109" s="806"/>
      <c r="AL109" s="806"/>
      <c r="AM109" s="806"/>
      <c r="AN109" s="806"/>
      <c r="AO109" s="806"/>
      <c r="AP109" s="806"/>
      <c r="AQ109" s="806"/>
      <c r="AR109" s="806"/>
      <c r="AS109" s="806"/>
      <c r="AT109" s="806"/>
      <c r="AU109" s="806"/>
      <c r="AV109" s="806"/>
      <c r="AW109" s="806"/>
      <c r="AX109" s="806"/>
      <c r="AY109" s="584"/>
    </row>
    <row r="110" spans="1:51" ht="72" customHeight="1" x14ac:dyDescent="0.25">
      <c r="A110" s="828"/>
      <c r="B110" s="822"/>
      <c r="C110" s="822"/>
      <c r="D110" s="579" t="s">
        <v>353</v>
      </c>
      <c r="E110" s="582"/>
      <c r="F110" s="582"/>
      <c r="G110" s="582"/>
      <c r="H110" s="582"/>
      <c r="I110" s="580">
        <v>1</v>
      </c>
      <c r="J110" s="581">
        <v>1</v>
      </c>
      <c r="K110" s="580">
        <v>1</v>
      </c>
      <c r="L110" s="580">
        <v>1</v>
      </c>
      <c r="M110" s="581">
        <v>1</v>
      </c>
      <c r="N110" s="582">
        <v>1</v>
      </c>
      <c r="O110" s="582">
        <v>1</v>
      </c>
      <c r="P110" s="580">
        <v>1</v>
      </c>
      <c r="Q110" s="580">
        <v>1</v>
      </c>
      <c r="R110" s="580">
        <v>1</v>
      </c>
      <c r="S110" s="580"/>
      <c r="T110" s="575"/>
      <c r="U110" s="580">
        <v>0</v>
      </c>
      <c r="V110" s="580">
        <v>1</v>
      </c>
      <c r="W110" s="581">
        <v>1</v>
      </c>
      <c r="X110" s="580">
        <v>1</v>
      </c>
      <c r="Y110" s="580">
        <v>1</v>
      </c>
      <c r="Z110" s="581">
        <f t="shared" si="25"/>
        <v>1</v>
      </c>
      <c r="AA110" s="580">
        <f t="shared" si="25"/>
        <v>1</v>
      </c>
      <c r="AB110" s="580">
        <f t="shared" si="25"/>
        <v>1</v>
      </c>
      <c r="AC110" s="580">
        <f t="shared" si="25"/>
        <v>1</v>
      </c>
      <c r="AD110" s="580">
        <f t="shared" si="25"/>
        <v>1</v>
      </c>
      <c r="AE110" s="580">
        <f t="shared" si="25"/>
        <v>1</v>
      </c>
      <c r="AF110" s="838"/>
      <c r="AG110" s="828"/>
      <c r="AH110" s="822"/>
      <c r="AI110" s="822"/>
      <c r="AJ110" s="662" t="s">
        <v>504</v>
      </c>
      <c r="AK110" s="806"/>
      <c r="AL110" s="806"/>
      <c r="AM110" s="806"/>
      <c r="AN110" s="806"/>
      <c r="AO110" s="806"/>
      <c r="AP110" s="806"/>
      <c r="AQ110" s="806"/>
      <c r="AR110" s="806"/>
      <c r="AS110" s="806"/>
      <c r="AT110" s="806"/>
      <c r="AU110" s="806"/>
      <c r="AV110" s="806"/>
      <c r="AW110" s="806"/>
      <c r="AX110" s="806"/>
      <c r="AY110" s="584"/>
    </row>
    <row r="111" spans="1:51" ht="28.9" customHeight="1" x14ac:dyDescent="0.25">
      <c r="A111" s="828"/>
      <c r="B111" s="822"/>
      <c r="C111" s="823"/>
      <c r="D111" s="578" t="s">
        <v>354</v>
      </c>
      <c r="E111" s="582"/>
      <c r="F111" s="582"/>
      <c r="G111" s="582"/>
      <c r="H111" s="582"/>
      <c r="I111" s="580">
        <v>25724993.411764704</v>
      </c>
      <c r="J111" s="580">
        <v>22190622.954592362</v>
      </c>
      <c r="K111" s="580">
        <v>21334057.196078431</v>
      </c>
      <c r="L111" s="580">
        <v>22090441.399641577</v>
      </c>
      <c r="M111" s="580">
        <f t="shared" ref="M111:R111" si="27">+M107+M109</f>
        <v>20724218.208708707</v>
      </c>
      <c r="N111" s="582">
        <f t="shared" si="27"/>
        <v>19739266.605943151</v>
      </c>
      <c r="O111" s="582">
        <f t="shared" si="27"/>
        <v>19189133.08276644</v>
      </c>
      <c r="P111" s="580">
        <f t="shared" si="27"/>
        <v>17869279.296650719</v>
      </c>
      <c r="Q111" s="580">
        <f t="shared" si="27"/>
        <v>17588070.984962407</v>
      </c>
      <c r="R111" s="580">
        <f t="shared" si="27"/>
        <v>17541750.420483641</v>
      </c>
      <c r="S111" s="580"/>
      <c r="T111" s="575"/>
      <c r="U111" s="580">
        <v>0</v>
      </c>
      <c r="V111" s="580">
        <v>25724993.411764704</v>
      </c>
      <c r="W111" s="581">
        <v>22190622.954592362</v>
      </c>
      <c r="X111" s="580">
        <v>21334057.196078431</v>
      </c>
      <c r="Y111" s="580">
        <v>22090441.399641577</v>
      </c>
      <c r="Z111" s="580">
        <f t="shared" si="25"/>
        <v>20724218.208708707</v>
      </c>
      <c r="AA111" s="580">
        <f t="shared" si="25"/>
        <v>19739266.605943151</v>
      </c>
      <c r="AB111" s="580">
        <f t="shared" si="25"/>
        <v>19189133.08276644</v>
      </c>
      <c r="AC111" s="580">
        <f t="shared" si="25"/>
        <v>17869279.296650719</v>
      </c>
      <c r="AD111" s="580">
        <f t="shared" si="25"/>
        <v>17588070.984962407</v>
      </c>
      <c r="AE111" s="580">
        <f t="shared" si="25"/>
        <v>17541750.420483641</v>
      </c>
      <c r="AF111" s="838"/>
      <c r="AG111" s="829"/>
      <c r="AH111" s="823"/>
      <c r="AI111" s="823"/>
      <c r="AJ111" s="659" t="s">
        <v>505</v>
      </c>
      <c r="AK111" s="807"/>
      <c r="AL111" s="807"/>
      <c r="AM111" s="807"/>
      <c r="AN111" s="807"/>
      <c r="AO111" s="807"/>
      <c r="AP111" s="807"/>
      <c r="AQ111" s="807"/>
      <c r="AR111" s="807"/>
      <c r="AS111" s="807"/>
      <c r="AT111" s="807"/>
      <c r="AU111" s="807"/>
      <c r="AV111" s="807"/>
      <c r="AW111" s="807"/>
      <c r="AX111" s="807"/>
      <c r="AY111" s="584"/>
    </row>
    <row r="112" spans="1:51" ht="22.9" customHeight="1" x14ac:dyDescent="0.25">
      <c r="A112" s="828"/>
      <c r="B112" s="822"/>
      <c r="C112" s="821" t="s">
        <v>584</v>
      </c>
      <c r="D112" s="572" t="s">
        <v>345</v>
      </c>
      <c r="E112" s="582"/>
      <c r="F112" s="582"/>
      <c r="G112" s="582"/>
      <c r="H112" s="582"/>
      <c r="I112" s="581"/>
      <c r="J112" s="580"/>
      <c r="K112" s="580"/>
      <c r="L112" s="580">
        <v>1</v>
      </c>
      <c r="M112" s="581">
        <v>2</v>
      </c>
      <c r="N112" s="582">
        <v>2</v>
      </c>
      <c r="O112" s="582">
        <v>3</v>
      </c>
      <c r="P112" s="580">
        <v>3</v>
      </c>
      <c r="Q112" s="580">
        <v>3</v>
      </c>
      <c r="R112" s="580">
        <v>4</v>
      </c>
      <c r="S112" s="580"/>
      <c r="T112" s="575"/>
      <c r="U112" s="580">
        <v>0</v>
      </c>
      <c r="V112" s="580">
        <v>0</v>
      </c>
      <c r="W112" s="581">
        <v>0</v>
      </c>
      <c r="X112" s="580">
        <v>0</v>
      </c>
      <c r="Y112" s="580">
        <v>1</v>
      </c>
      <c r="Z112" s="581">
        <f t="shared" si="25"/>
        <v>2</v>
      </c>
      <c r="AA112" s="580">
        <f t="shared" si="25"/>
        <v>2</v>
      </c>
      <c r="AB112" s="580">
        <f t="shared" si="25"/>
        <v>3</v>
      </c>
      <c r="AC112" s="580">
        <f t="shared" si="25"/>
        <v>3</v>
      </c>
      <c r="AD112" s="580">
        <f t="shared" si="25"/>
        <v>3</v>
      </c>
      <c r="AE112" s="580">
        <f t="shared" si="25"/>
        <v>4</v>
      </c>
      <c r="AF112" s="899" t="s">
        <v>585</v>
      </c>
      <c r="AG112" s="890" t="s">
        <v>584</v>
      </c>
      <c r="AH112" s="824" t="s">
        <v>586</v>
      </c>
      <c r="AI112" s="824" t="s">
        <v>587</v>
      </c>
      <c r="AJ112" s="656" t="s">
        <v>499</v>
      </c>
      <c r="AK112" s="826" t="s">
        <v>490</v>
      </c>
      <c r="AL112" s="826" t="s">
        <v>178</v>
      </c>
      <c r="AM112" s="826" t="s">
        <v>491</v>
      </c>
      <c r="AN112" s="820">
        <v>256731</v>
      </c>
      <c r="AO112" s="820">
        <v>127095</v>
      </c>
      <c r="AP112" s="861">
        <v>129636</v>
      </c>
      <c r="AQ112" s="840" t="s">
        <v>492</v>
      </c>
      <c r="AR112" s="840" t="s">
        <v>492</v>
      </c>
      <c r="AS112" s="840" t="s">
        <v>492</v>
      </c>
      <c r="AT112" s="840" t="s">
        <v>492</v>
      </c>
      <c r="AU112" s="833" t="s">
        <v>492</v>
      </c>
      <c r="AV112" s="833" t="s">
        <v>492</v>
      </c>
      <c r="AW112" s="833" t="s">
        <v>492</v>
      </c>
      <c r="AX112" s="820">
        <v>255123</v>
      </c>
      <c r="AY112" s="584"/>
    </row>
    <row r="113" spans="1:51" ht="20.45" customHeight="1" x14ac:dyDescent="0.25">
      <c r="A113" s="828"/>
      <c r="B113" s="822"/>
      <c r="C113" s="822"/>
      <c r="D113" s="578" t="s">
        <v>349</v>
      </c>
      <c r="E113" s="582"/>
      <c r="F113" s="582"/>
      <c r="G113" s="582"/>
      <c r="H113" s="582"/>
      <c r="I113" s="580"/>
      <c r="J113" s="580"/>
      <c r="K113" s="580"/>
      <c r="L113" s="580">
        <v>8425043.0107526891</v>
      </c>
      <c r="M113" s="580">
        <f>+M112*$Z$11/$Z$10</f>
        <v>14117639.63963964</v>
      </c>
      <c r="N113" s="582">
        <f>+N112*$AA$11/$AA$10</f>
        <v>12147736.434108527</v>
      </c>
      <c r="O113" s="582">
        <f>+O112*$AB$11/$AB$10</f>
        <v>16571204.081632653</v>
      </c>
      <c r="P113" s="580">
        <f>+P112*$AC$11/$AC$10</f>
        <v>14763436.363636363</v>
      </c>
      <c r="Q113" s="580">
        <f>+Q112*$AD$11/$AD$10</f>
        <v>13919811.428571429</v>
      </c>
      <c r="R113" s="580">
        <f>+R112*$AE$11/$AE$10</f>
        <v>18374466.313513514</v>
      </c>
      <c r="S113" s="580"/>
      <c r="T113" s="575"/>
      <c r="U113" s="580">
        <v>0</v>
      </c>
      <c r="V113" s="580">
        <v>0</v>
      </c>
      <c r="W113" s="581">
        <v>0</v>
      </c>
      <c r="X113" s="580">
        <v>0</v>
      </c>
      <c r="Y113" s="580">
        <v>8425043.0107526891</v>
      </c>
      <c r="Z113" s="580">
        <f t="shared" si="25"/>
        <v>14117639.63963964</v>
      </c>
      <c r="AA113" s="580">
        <f t="shared" si="25"/>
        <v>12147736.434108527</v>
      </c>
      <c r="AB113" s="580">
        <f t="shared" si="25"/>
        <v>16571204.081632653</v>
      </c>
      <c r="AC113" s="580">
        <f t="shared" si="25"/>
        <v>14763436.363636363</v>
      </c>
      <c r="AD113" s="580">
        <f t="shared" si="25"/>
        <v>13919811.428571429</v>
      </c>
      <c r="AE113" s="580">
        <f t="shared" si="25"/>
        <v>18374466.313513514</v>
      </c>
      <c r="AF113" s="838"/>
      <c r="AG113" s="828"/>
      <c r="AH113" s="822"/>
      <c r="AI113" s="822"/>
      <c r="AJ113" s="661" t="s">
        <v>528</v>
      </c>
      <c r="AK113" s="806"/>
      <c r="AL113" s="806"/>
      <c r="AM113" s="806"/>
      <c r="AN113" s="806"/>
      <c r="AO113" s="806"/>
      <c r="AP113" s="806"/>
      <c r="AQ113" s="806"/>
      <c r="AR113" s="806"/>
      <c r="AS113" s="806"/>
      <c r="AT113" s="806"/>
      <c r="AU113" s="806"/>
      <c r="AV113" s="806"/>
      <c r="AW113" s="806"/>
      <c r="AX113" s="806"/>
      <c r="AY113" s="584"/>
    </row>
    <row r="114" spans="1:51" ht="28.9" customHeight="1" x14ac:dyDescent="0.25">
      <c r="A114" s="828"/>
      <c r="B114" s="822"/>
      <c r="C114" s="822"/>
      <c r="D114" s="579" t="s">
        <v>351</v>
      </c>
      <c r="E114" s="582"/>
      <c r="F114" s="582"/>
      <c r="G114" s="582"/>
      <c r="H114" s="582"/>
      <c r="I114" s="580"/>
      <c r="J114" s="581"/>
      <c r="K114" s="580"/>
      <c r="L114" s="580"/>
      <c r="M114" s="581"/>
      <c r="N114" s="582"/>
      <c r="O114" s="582"/>
      <c r="P114" s="580"/>
      <c r="Q114" s="580"/>
      <c r="R114" s="580"/>
      <c r="S114" s="580"/>
      <c r="T114" s="575"/>
      <c r="U114" s="580">
        <v>0</v>
      </c>
      <c r="V114" s="580">
        <v>0</v>
      </c>
      <c r="W114" s="581">
        <v>0</v>
      </c>
      <c r="X114" s="580">
        <v>0</v>
      </c>
      <c r="Y114" s="580">
        <v>0</v>
      </c>
      <c r="Z114" s="581">
        <f t="shared" si="25"/>
        <v>0</v>
      </c>
      <c r="AA114" s="580">
        <f t="shared" si="25"/>
        <v>0</v>
      </c>
      <c r="AB114" s="580">
        <f t="shared" si="25"/>
        <v>0</v>
      </c>
      <c r="AC114" s="580">
        <f t="shared" si="25"/>
        <v>0</v>
      </c>
      <c r="AD114" s="580">
        <f t="shared" si="25"/>
        <v>0</v>
      </c>
      <c r="AE114" s="580">
        <f t="shared" si="25"/>
        <v>0</v>
      </c>
      <c r="AF114" s="838"/>
      <c r="AG114" s="828"/>
      <c r="AH114" s="822"/>
      <c r="AI114" s="822"/>
      <c r="AJ114" s="657" t="s">
        <v>502</v>
      </c>
      <c r="AK114" s="806"/>
      <c r="AL114" s="806"/>
      <c r="AM114" s="806"/>
      <c r="AN114" s="806"/>
      <c r="AO114" s="806"/>
      <c r="AP114" s="806"/>
      <c r="AQ114" s="806"/>
      <c r="AR114" s="806"/>
      <c r="AS114" s="806"/>
      <c r="AT114" s="806"/>
      <c r="AU114" s="806"/>
      <c r="AV114" s="806"/>
      <c r="AW114" s="806"/>
      <c r="AX114" s="806"/>
      <c r="AY114" s="584"/>
    </row>
    <row r="115" spans="1:51" ht="30.6" customHeight="1" x14ac:dyDescent="0.25">
      <c r="A115" s="828"/>
      <c r="B115" s="822"/>
      <c r="C115" s="822"/>
      <c r="D115" s="578" t="s">
        <v>352</v>
      </c>
      <c r="E115" s="582"/>
      <c r="F115" s="582"/>
      <c r="G115" s="582"/>
      <c r="H115" s="583"/>
      <c r="I115" s="575"/>
      <c r="J115" s="575"/>
      <c r="K115" s="575"/>
      <c r="L115" s="575">
        <v>13665398.388888888</v>
      </c>
      <c r="M115" s="575">
        <v>13665398.388888888</v>
      </c>
      <c r="N115" s="583">
        <v>13665398.388888888</v>
      </c>
      <c r="O115" s="583">
        <v>13665398.388888888</v>
      </c>
      <c r="P115" s="575">
        <v>12948133.842105264</v>
      </c>
      <c r="Q115" s="575">
        <v>12948133.842105264</v>
      </c>
      <c r="R115" s="575">
        <v>12948133.842105264</v>
      </c>
      <c r="S115" s="575"/>
      <c r="T115" s="575"/>
      <c r="U115" s="580">
        <v>0</v>
      </c>
      <c r="V115" s="580">
        <v>0</v>
      </c>
      <c r="W115" s="581">
        <v>0</v>
      </c>
      <c r="X115" s="580">
        <v>0</v>
      </c>
      <c r="Y115" s="580">
        <v>13665398.388888888</v>
      </c>
      <c r="Z115" s="574">
        <f t="shared" si="25"/>
        <v>13665398.388888888</v>
      </c>
      <c r="AA115" s="580">
        <f t="shared" si="25"/>
        <v>13665398.388888888</v>
      </c>
      <c r="AB115" s="580">
        <f t="shared" si="25"/>
        <v>13665398.388888888</v>
      </c>
      <c r="AC115" s="580">
        <f t="shared" si="25"/>
        <v>12948133.842105264</v>
      </c>
      <c r="AD115" s="580">
        <f t="shared" si="25"/>
        <v>12948133.842105264</v>
      </c>
      <c r="AE115" s="575">
        <f t="shared" si="25"/>
        <v>12948133.842105264</v>
      </c>
      <c r="AF115" s="838"/>
      <c r="AG115" s="828"/>
      <c r="AH115" s="822"/>
      <c r="AI115" s="822"/>
      <c r="AJ115" s="661" t="s">
        <v>503</v>
      </c>
      <c r="AK115" s="806"/>
      <c r="AL115" s="806"/>
      <c r="AM115" s="806"/>
      <c r="AN115" s="806"/>
      <c r="AO115" s="806"/>
      <c r="AP115" s="806"/>
      <c r="AQ115" s="806"/>
      <c r="AR115" s="806"/>
      <c r="AS115" s="806"/>
      <c r="AT115" s="806"/>
      <c r="AU115" s="806"/>
      <c r="AV115" s="806"/>
      <c r="AW115" s="806"/>
      <c r="AX115" s="806"/>
      <c r="AY115" s="584"/>
    </row>
    <row r="116" spans="1:51" ht="72" customHeight="1" x14ac:dyDescent="0.25">
      <c r="A116" s="828"/>
      <c r="B116" s="822"/>
      <c r="C116" s="822"/>
      <c r="D116" s="579" t="s">
        <v>353</v>
      </c>
      <c r="E116" s="582"/>
      <c r="F116" s="582"/>
      <c r="G116" s="582"/>
      <c r="H116" s="582"/>
      <c r="I116" s="580"/>
      <c r="J116" s="581"/>
      <c r="K116" s="580"/>
      <c r="L116" s="580">
        <v>1</v>
      </c>
      <c r="M116" s="581">
        <v>2</v>
      </c>
      <c r="N116" s="582">
        <v>2</v>
      </c>
      <c r="O116" s="582">
        <v>3</v>
      </c>
      <c r="P116" s="580">
        <v>3</v>
      </c>
      <c r="Q116" s="580">
        <v>3</v>
      </c>
      <c r="R116" s="580">
        <v>4</v>
      </c>
      <c r="S116" s="580"/>
      <c r="T116" s="575"/>
      <c r="U116" s="580">
        <v>0</v>
      </c>
      <c r="V116" s="580">
        <v>0</v>
      </c>
      <c r="W116" s="581">
        <v>0</v>
      </c>
      <c r="X116" s="580">
        <v>0</v>
      </c>
      <c r="Y116" s="580">
        <v>1</v>
      </c>
      <c r="Z116" s="581">
        <f t="shared" si="25"/>
        <v>2</v>
      </c>
      <c r="AA116" s="580">
        <f t="shared" si="25"/>
        <v>2</v>
      </c>
      <c r="AB116" s="580">
        <f t="shared" si="25"/>
        <v>3</v>
      </c>
      <c r="AC116" s="580">
        <f t="shared" si="25"/>
        <v>3</v>
      </c>
      <c r="AD116" s="580">
        <f t="shared" si="25"/>
        <v>3</v>
      </c>
      <c r="AE116" s="580">
        <f t="shared" si="25"/>
        <v>4</v>
      </c>
      <c r="AF116" s="838"/>
      <c r="AG116" s="828"/>
      <c r="AH116" s="822"/>
      <c r="AI116" s="822"/>
      <c r="AJ116" s="662" t="s">
        <v>504</v>
      </c>
      <c r="AK116" s="806"/>
      <c r="AL116" s="806"/>
      <c r="AM116" s="806"/>
      <c r="AN116" s="806"/>
      <c r="AO116" s="806"/>
      <c r="AP116" s="806"/>
      <c r="AQ116" s="806"/>
      <c r="AR116" s="806"/>
      <c r="AS116" s="806"/>
      <c r="AT116" s="806"/>
      <c r="AU116" s="806"/>
      <c r="AV116" s="806"/>
      <c r="AW116" s="806"/>
      <c r="AX116" s="806"/>
      <c r="AY116" s="584"/>
    </row>
    <row r="117" spans="1:51" ht="28.9" customHeight="1" x14ac:dyDescent="0.25">
      <c r="A117" s="828"/>
      <c r="B117" s="822"/>
      <c r="C117" s="823"/>
      <c r="D117" s="578" t="s">
        <v>354</v>
      </c>
      <c r="E117" s="582"/>
      <c r="F117" s="582"/>
      <c r="G117" s="582"/>
      <c r="H117" s="582"/>
      <c r="I117" s="580"/>
      <c r="J117" s="580"/>
      <c r="K117" s="580"/>
      <c r="L117" s="580">
        <v>22090441.399641577</v>
      </c>
      <c r="M117" s="580">
        <f t="shared" ref="M117:R117" si="28">+M113+M115</f>
        <v>27783038.028528526</v>
      </c>
      <c r="N117" s="582">
        <f t="shared" si="28"/>
        <v>25813134.822997414</v>
      </c>
      <c r="O117" s="582">
        <f t="shared" si="28"/>
        <v>30236602.470521539</v>
      </c>
      <c r="P117" s="580">
        <f t="shared" si="28"/>
        <v>27711570.205741629</v>
      </c>
      <c r="Q117" s="580">
        <f t="shared" si="28"/>
        <v>26867945.270676695</v>
      </c>
      <c r="R117" s="580">
        <f t="shared" si="28"/>
        <v>31322600.155618779</v>
      </c>
      <c r="S117" s="580"/>
      <c r="T117" s="575"/>
      <c r="U117" s="580">
        <v>0</v>
      </c>
      <c r="V117" s="580">
        <v>0</v>
      </c>
      <c r="W117" s="581">
        <v>0</v>
      </c>
      <c r="X117" s="580">
        <v>0</v>
      </c>
      <c r="Y117" s="580">
        <v>22090441.399641577</v>
      </c>
      <c r="Z117" s="580">
        <f t="shared" si="25"/>
        <v>27783038.028528526</v>
      </c>
      <c r="AA117" s="580">
        <f t="shared" si="25"/>
        <v>25813134.822997414</v>
      </c>
      <c r="AB117" s="580">
        <f t="shared" si="25"/>
        <v>30236602.470521539</v>
      </c>
      <c r="AC117" s="580">
        <f t="shared" si="25"/>
        <v>27711570.205741629</v>
      </c>
      <c r="AD117" s="580">
        <f t="shared" si="25"/>
        <v>26867945.270676695</v>
      </c>
      <c r="AE117" s="580">
        <f t="shared" si="25"/>
        <v>31322600.155618779</v>
      </c>
      <c r="AF117" s="838"/>
      <c r="AG117" s="829"/>
      <c r="AH117" s="823"/>
      <c r="AI117" s="823"/>
      <c r="AJ117" s="659" t="s">
        <v>505</v>
      </c>
      <c r="AK117" s="807"/>
      <c r="AL117" s="807"/>
      <c r="AM117" s="807"/>
      <c r="AN117" s="807"/>
      <c r="AO117" s="807"/>
      <c r="AP117" s="807"/>
      <c r="AQ117" s="807"/>
      <c r="AR117" s="807"/>
      <c r="AS117" s="807"/>
      <c r="AT117" s="807"/>
      <c r="AU117" s="807"/>
      <c r="AV117" s="807"/>
      <c r="AW117" s="807"/>
      <c r="AX117" s="807"/>
      <c r="AY117" s="584"/>
    </row>
    <row r="118" spans="1:51" ht="22.9" customHeight="1" x14ac:dyDescent="0.25">
      <c r="A118" s="828"/>
      <c r="B118" s="822"/>
      <c r="C118" s="821" t="s">
        <v>588</v>
      </c>
      <c r="D118" s="572" t="s">
        <v>345</v>
      </c>
      <c r="E118" s="582"/>
      <c r="F118" s="582"/>
      <c r="G118" s="582"/>
      <c r="H118" s="582">
        <v>1</v>
      </c>
      <c r="I118" s="581">
        <v>1</v>
      </c>
      <c r="J118" s="580">
        <v>2</v>
      </c>
      <c r="K118" s="580">
        <v>2</v>
      </c>
      <c r="L118" s="580">
        <v>2</v>
      </c>
      <c r="M118" s="581">
        <v>5</v>
      </c>
      <c r="N118" s="582">
        <v>5</v>
      </c>
      <c r="O118" s="582">
        <v>8</v>
      </c>
      <c r="P118" s="580">
        <v>11</v>
      </c>
      <c r="Q118" s="580">
        <v>11</v>
      </c>
      <c r="R118" s="580">
        <v>11</v>
      </c>
      <c r="S118" s="580"/>
      <c r="T118" s="575"/>
      <c r="U118" s="580">
        <v>1</v>
      </c>
      <c r="V118" s="580">
        <v>1</v>
      </c>
      <c r="W118" s="581">
        <v>2</v>
      </c>
      <c r="X118" s="580">
        <v>2</v>
      </c>
      <c r="Y118" s="580">
        <v>2</v>
      </c>
      <c r="Z118" s="581">
        <f t="shared" ref="Z118:AE129" si="29">+M118</f>
        <v>5</v>
      </c>
      <c r="AA118" s="580">
        <f t="shared" si="29"/>
        <v>5</v>
      </c>
      <c r="AB118" s="580">
        <f t="shared" si="29"/>
        <v>8</v>
      </c>
      <c r="AC118" s="580">
        <f t="shared" si="29"/>
        <v>11</v>
      </c>
      <c r="AD118" s="580">
        <f t="shared" si="29"/>
        <v>11</v>
      </c>
      <c r="AE118" s="580">
        <f t="shared" si="29"/>
        <v>11</v>
      </c>
      <c r="AF118" s="899" t="s">
        <v>589</v>
      </c>
      <c r="AG118" s="827" t="s">
        <v>588</v>
      </c>
      <c r="AH118" s="824" t="s">
        <v>590</v>
      </c>
      <c r="AI118" s="824" t="s">
        <v>591</v>
      </c>
      <c r="AJ118" s="656" t="s">
        <v>499</v>
      </c>
      <c r="AK118" s="826" t="s">
        <v>490</v>
      </c>
      <c r="AL118" s="826" t="s">
        <v>592</v>
      </c>
      <c r="AM118" s="826" t="s">
        <v>491</v>
      </c>
      <c r="AN118" s="861">
        <v>389238</v>
      </c>
      <c r="AO118" s="861">
        <v>191448</v>
      </c>
      <c r="AP118" s="861">
        <v>197790</v>
      </c>
      <c r="AQ118" s="840" t="s">
        <v>492</v>
      </c>
      <c r="AR118" s="840" t="s">
        <v>492</v>
      </c>
      <c r="AS118" s="840" t="s">
        <v>492</v>
      </c>
      <c r="AT118" s="840" t="s">
        <v>492</v>
      </c>
      <c r="AU118" s="833" t="s">
        <v>492</v>
      </c>
      <c r="AV118" s="833" t="s">
        <v>492</v>
      </c>
      <c r="AW118" s="833" t="s">
        <v>492</v>
      </c>
      <c r="AX118" s="861">
        <v>389238</v>
      </c>
      <c r="AY118" s="584"/>
    </row>
    <row r="119" spans="1:51" ht="20.45" customHeight="1" x14ac:dyDescent="0.25">
      <c r="A119" s="828"/>
      <c r="B119" s="822"/>
      <c r="C119" s="822"/>
      <c r="D119" s="578" t="s">
        <v>349</v>
      </c>
      <c r="E119" s="582"/>
      <c r="F119" s="582"/>
      <c r="G119" s="582"/>
      <c r="H119" s="582">
        <v>34899772.727272727</v>
      </c>
      <c r="I119" s="580">
        <v>19194875</v>
      </c>
      <c r="J119" s="580">
        <v>26940175.438596491</v>
      </c>
      <c r="K119" s="580">
        <v>20474533.333333332</v>
      </c>
      <c r="L119" s="580">
        <v>16850086.021505378</v>
      </c>
      <c r="M119" s="580">
        <f>+M118*$Z$11/$Z$10</f>
        <v>35294099.0990991</v>
      </c>
      <c r="N119" s="582">
        <f>+N118*$AA$11/$AA$10</f>
        <v>30369341.085271318</v>
      </c>
      <c r="O119" s="582">
        <f>+O118*$AB$11/$AB$10</f>
        <v>44189877.551020406</v>
      </c>
      <c r="P119" s="580">
        <f>+P118*$AC$11/$AC$10</f>
        <v>54132600</v>
      </c>
      <c r="Q119" s="580">
        <f>+Q118*$AD$11/$AD$10</f>
        <v>51039308.571428575</v>
      </c>
      <c r="R119" s="580">
        <f>+R118*$AE$11/$AE$10</f>
        <v>50529782.362162165</v>
      </c>
      <c r="S119" s="580"/>
      <c r="T119" s="575"/>
      <c r="U119" s="580">
        <v>34899772.727272727</v>
      </c>
      <c r="V119" s="580">
        <v>19194875</v>
      </c>
      <c r="W119" s="581">
        <v>26940175.438596491</v>
      </c>
      <c r="X119" s="580">
        <v>20474533.333333332</v>
      </c>
      <c r="Y119" s="580">
        <v>16850086.021505378</v>
      </c>
      <c r="Z119" s="580">
        <f t="shared" si="29"/>
        <v>35294099.0990991</v>
      </c>
      <c r="AA119" s="580">
        <f t="shared" si="29"/>
        <v>30369341.085271318</v>
      </c>
      <c r="AB119" s="580">
        <f t="shared" si="29"/>
        <v>44189877.551020406</v>
      </c>
      <c r="AC119" s="580">
        <f t="shared" si="29"/>
        <v>54132600</v>
      </c>
      <c r="AD119" s="580">
        <f t="shared" si="29"/>
        <v>51039308.571428575</v>
      </c>
      <c r="AE119" s="580">
        <f t="shared" si="29"/>
        <v>50529782.362162165</v>
      </c>
      <c r="AF119" s="838"/>
      <c r="AG119" s="828"/>
      <c r="AH119" s="822"/>
      <c r="AI119" s="822"/>
      <c r="AJ119" s="661" t="s">
        <v>528</v>
      </c>
      <c r="AK119" s="806"/>
      <c r="AL119" s="806"/>
      <c r="AM119" s="806"/>
      <c r="AN119" s="806"/>
      <c r="AO119" s="806"/>
      <c r="AP119" s="806"/>
      <c r="AQ119" s="806"/>
      <c r="AR119" s="806"/>
      <c r="AS119" s="806"/>
      <c r="AT119" s="806"/>
      <c r="AU119" s="806"/>
      <c r="AV119" s="806"/>
      <c r="AW119" s="806"/>
      <c r="AX119" s="806"/>
      <c r="AY119" s="584"/>
    </row>
    <row r="120" spans="1:51" ht="28.9" customHeight="1" x14ac:dyDescent="0.25">
      <c r="A120" s="828"/>
      <c r="B120" s="822"/>
      <c r="C120" s="822"/>
      <c r="D120" s="579" t="s">
        <v>351</v>
      </c>
      <c r="E120" s="582"/>
      <c r="F120" s="582"/>
      <c r="G120" s="582"/>
      <c r="H120" s="582"/>
      <c r="I120" s="580"/>
      <c r="J120" s="581"/>
      <c r="K120" s="580"/>
      <c r="L120" s="580"/>
      <c r="M120" s="581"/>
      <c r="N120" s="582"/>
      <c r="O120" s="582"/>
      <c r="P120" s="580"/>
      <c r="Q120" s="580"/>
      <c r="R120" s="580"/>
      <c r="S120" s="580"/>
      <c r="T120" s="575"/>
      <c r="U120" s="580">
        <v>0</v>
      </c>
      <c r="V120" s="580">
        <v>0</v>
      </c>
      <c r="W120" s="581">
        <v>0</v>
      </c>
      <c r="X120" s="580">
        <v>0</v>
      </c>
      <c r="Y120" s="580">
        <v>0</v>
      </c>
      <c r="Z120" s="581">
        <f t="shared" si="29"/>
        <v>0</v>
      </c>
      <c r="AA120" s="580">
        <f t="shared" si="29"/>
        <v>0</v>
      </c>
      <c r="AB120" s="580">
        <f t="shared" si="29"/>
        <v>0</v>
      </c>
      <c r="AC120" s="580">
        <f t="shared" si="29"/>
        <v>0</v>
      </c>
      <c r="AD120" s="580">
        <f t="shared" si="29"/>
        <v>0</v>
      </c>
      <c r="AE120" s="580">
        <f t="shared" si="29"/>
        <v>0</v>
      </c>
      <c r="AF120" s="838"/>
      <c r="AG120" s="828"/>
      <c r="AH120" s="822"/>
      <c r="AI120" s="822"/>
      <c r="AJ120" s="657" t="s">
        <v>502</v>
      </c>
      <c r="AK120" s="806"/>
      <c r="AL120" s="806"/>
      <c r="AM120" s="806"/>
      <c r="AN120" s="806"/>
      <c r="AO120" s="806"/>
      <c r="AP120" s="806"/>
      <c r="AQ120" s="806"/>
      <c r="AR120" s="806"/>
      <c r="AS120" s="806"/>
      <c r="AT120" s="806"/>
      <c r="AU120" s="806"/>
      <c r="AV120" s="806"/>
      <c r="AW120" s="806"/>
      <c r="AX120" s="806"/>
      <c r="AY120" s="584"/>
    </row>
    <row r="121" spans="1:51" ht="30.6" customHeight="1" x14ac:dyDescent="0.25">
      <c r="A121" s="828"/>
      <c r="B121" s="822"/>
      <c r="C121" s="822"/>
      <c r="D121" s="578" t="s">
        <v>352</v>
      </c>
      <c r="E121" s="582"/>
      <c r="F121" s="582"/>
      <c r="G121" s="582"/>
      <c r="H121" s="582">
        <v>6088333.7142857146</v>
      </c>
      <c r="I121" s="575">
        <v>6530118.4117647056</v>
      </c>
      <c r="J121" s="575">
        <v>8720535.2352941185</v>
      </c>
      <c r="K121" s="575">
        <v>11096790.529411765</v>
      </c>
      <c r="L121" s="575">
        <v>13665398.388888888</v>
      </c>
      <c r="M121" s="575">
        <v>13665398.388888888</v>
      </c>
      <c r="N121" s="583">
        <v>13665398.388888888</v>
      </c>
      <c r="O121" s="583">
        <v>13665398.388888888</v>
      </c>
      <c r="P121" s="575">
        <v>12948133.842105264</v>
      </c>
      <c r="Q121" s="575">
        <v>12948133.842105264</v>
      </c>
      <c r="R121" s="575">
        <v>12948133.842105264</v>
      </c>
      <c r="S121" s="575"/>
      <c r="T121" s="575"/>
      <c r="U121" s="580">
        <v>6088333.7142857146</v>
      </c>
      <c r="V121" s="580">
        <v>6530118.4117647056</v>
      </c>
      <c r="W121" s="581">
        <v>8720535.2352941185</v>
      </c>
      <c r="X121" s="580">
        <v>11096790.529411765</v>
      </c>
      <c r="Y121" s="580">
        <v>13665398.388888888</v>
      </c>
      <c r="Z121" s="574">
        <f t="shared" si="29"/>
        <v>13665398.388888888</v>
      </c>
      <c r="AA121" s="580">
        <f t="shared" si="29"/>
        <v>13665398.388888888</v>
      </c>
      <c r="AB121" s="580">
        <f t="shared" si="29"/>
        <v>13665398.388888888</v>
      </c>
      <c r="AC121" s="580">
        <f t="shared" si="29"/>
        <v>12948133.842105264</v>
      </c>
      <c r="AD121" s="580">
        <f t="shared" si="29"/>
        <v>12948133.842105264</v>
      </c>
      <c r="AE121" s="575">
        <f t="shared" si="29"/>
        <v>12948133.842105264</v>
      </c>
      <c r="AF121" s="838"/>
      <c r="AG121" s="828"/>
      <c r="AH121" s="822"/>
      <c r="AI121" s="822"/>
      <c r="AJ121" s="661" t="s">
        <v>503</v>
      </c>
      <c r="AK121" s="806"/>
      <c r="AL121" s="806"/>
      <c r="AM121" s="806"/>
      <c r="AN121" s="806"/>
      <c r="AO121" s="806"/>
      <c r="AP121" s="806"/>
      <c r="AQ121" s="806"/>
      <c r="AR121" s="806"/>
      <c r="AS121" s="806"/>
      <c r="AT121" s="806"/>
      <c r="AU121" s="806"/>
      <c r="AV121" s="806"/>
      <c r="AW121" s="806"/>
      <c r="AX121" s="806"/>
      <c r="AY121" s="584"/>
    </row>
    <row r="122" spans="1:51" ht="72" customHeight="1" x14ac:dyDescent="0.25">
      <c r="A122" s="828"/>
      <c r="B122" s="822"/>
      <c r="C122" s="822"/>
      <c r="D122" s="579" t="s">
        <v>353</v>
      </c>
      <c r="E122" s="582"/>
      <c r="F122" s="582"/>
      <c r="G122" s="582"/>
      <c r="H122" s="582">
        <v>1</v>
      </c>
      <c r="I122" s="580">
        <v>1</v>
      </c>
      <c r="J122" s="581">
        <v>2</v>
      </c>
      <c r="K122" s="580">
        <v>2</v>
      </c>
      <c r="L122" s="580">
        <v>2</v>
      </c>
      <c r="M122" s="581">
        <v>5</v>
      </c>
      <c r="N122" s="582">
        <v>5</v>
      </c>
      <c r="O122" s="582">
        <v>8</v>
      </c>
      <c r="P122" s="580">
        <v>11</v>
      </c>
      <c r="Q122" s="580">
        <v>11</v>
      </c>
      <c r="R122" s="580">
        <v>11</v>
      </c>
      <c r="S122" s="580"/>
      <c r="T122" s="575"/>
      <c r="U122" s="580">
        <v>1</v>
      </c>
      <c r="V122" s="580">
        <v>1</v>
      </c>
      <c r="W122" s="581">
        <v>2</v>
      </c>
      <c r="X122" s="580">
        <v>2</v>
      </c>
      <c r="Y122" s="580">
        <v>2</v>
      </c>
      <c r="Z122" s="581">
        <f t="shared" si="29"/>
        <v>5</v>
      </c>
      <c r="AA122" s="580">
        <f t="shared" si="29"/>
        <v>5</v>
      </c>
      <c r="AB122" s="580">
        <f t="shared" si="29"/>
        <v>8</v>
      </c>
      <c r="AC122" s="580">
        <f t="shared" si="29"/>
        <v>11</v>
      </c>
      <c r="AD122" s="580">
        <f t="shared" si="29"/>
        <v>11</v>
      </c>
      <c r="AE122" s="580">
        <f t="shared" si="29"/>
        <v>11</v>
      </c>
      <c r="AF122" s="838"/>
      <c r="AG122" s="828"/>
      <c r="AH122" s="822"/>
      <c r="AI122" s="822"/>
      <c r="AJ122" s="662" t="s">
        <v>504</v>
      </c>
      <c r="AK122" s="806"/>
      <c r="AL122" s="806"/>
      <c r="AM122" s="806"/>
      <c r="AN122" s="806"/>
      <c r="AO122" s="806"/>
      <c r="AP122" s="806"/>
      <c r="AQ122" s="806"/>
      <c r="AR122" s="806"/>
      <c r="AS122" s="806"/>
      <c r="AT122" s="806"/>
      <c r="AU122" s="806"/>
      <c r="AV122" s="806"/>
      <c r="AW122" s="806"/>
      <c r="AX122" s="806"/>
      <c r="AY122" s="584"/>
    </row>
    <row r="123" spans="1:51" ht="28.9" customHeight="1" x14ac:dyDescent="0.25">
      <c r="A123" s="828"/>
      <c r="B123" s="822"/>
      <c r="C123" s="823"/>
      <c r="D123" s="578" t="s">
        <v>354</v>
      </c>
      <c r="E123" s="582"/>
      <c r="F123" s="582"/>
      <c r="G123" s="582"/>
      <c r="H123" s="582">
        <v>40988106.441558443</v>
      </c>
      <c r="I123" s="580">
        <v>25724993.411764704</v>
      </c>
      <c r="J123" s="580">
        <v>35660710.673890606</v>
      </c>
      <c r="K123" s="580">
        <v>31571323.862745099</v>
      </c>
      <c r="L123" s="580">
        <v>30515484.410394266</v>
      </c>
      <c r="M123" s="580">
        <f t="shared" ref="M123:R123" si="30">+M119+M121</f>
        <v>48959497.487987988</v>
      </c>
      <c r="N123" s="582">
        <f t="shared" si="30"/>
        <v>44034739.474160209</v>
      </c>
      <c r="O123" s="582">
        <f t="shared" si="30"/>
        <v>57855275.939909294</v>
      </c>
      <c r="P123" s="580">
        <f t="shared" si="30"/>
        <v>67080733.842105262</v>
      </c>
      <c r="Q123" s="580">
        <f t="shared" si="30"/>
        <v>63987442.413533837</v>
      </c>
      <c r="R123" s="580">
        <f t="shared" si="30"/>
        <v>63477916.204267427</v>
      </c>
      <c r="S123" s="580"/>
      <c r="T123" s="575"/>
      <c r="U123" s="580">
        <v>40988106.441558443</v>
      </c>
      <c r="V123" s="580">
        <v>25724993.411764704</v>
      </c>
      <c r="W123" s="581">
        <v>35660710.673890606</v>
      </c>
      <c r="X123" s="580">
        <v>31571323.862745099</v>
      </c>
      <c r="Y123" s="580">
        <v>30515484.410394266</v>
      </c>
      <c r="Z123" s="580">
        <f t="shared" si="29"/>
        <v>48959497.487987988</v>
      </c>
      <c r="AA123" s="580">
        <f t="shared" si="29"/>
        <v>44034739.474160209</v>
      </c>
      <c r="AB123" s="580">
        <f t="shared" si="29"/>
        <v>57855275.939909294</v>
      </c>
      <c r="AC123" s="580">
        <f t="shared" si="29"/>
        <v>67080733.842105262</v>
      </c>
      <c r="AD123" s="580">
        <f t="shared" si="29"/>
        <v>63987442.413533837</v>
      </c>
      <c r="AE123" s="580">
        <f t="shared" si="29"/>
        <v>63477916.204267427</v>
      </c>
      <c r="AF123" s="838"/>
      <c r="AG123" s="829"/>
      <c r="AH123" s="823"/>
      <c r="AI123" s="823"/>
      <c r="AJ123" s="659" t="s">
        <v>505</v>
      </c>
      <c r="AK123" s="807"/>
      <c r="AL123" s="807"/>
      <c r="AM123" s="807"/>
      <c r="AN123" s="807"/>
      <c r="AO123" s="807"/>
      <c r="AP123" s="807"/>
      <c r="AQ123" s="807"/>
      <c r="AR123" s="807"/>
      <c r="AS123" s="807"/>
      <c r="AT123" s="807"/>
      <c r="AU123" s="807"/>
      <c r="AV123" s="807"/>
      <c r="AW123" s="807"/>
      <c r="AX123" s="807"/>
      <c r="AY123" s="584"/>
    </row>
    <row r="124" spans="1:51" ht="22.9" customHeight="1" x14ac:dyDescent="0.25">
      <c r="A124" s="828"/>
      <c r="B124" s="822"/>
      <c r="C124" s="821" t="s">
        <v>593</v>
      </c>
      <c r="D124" s="572" t="s">
        <v>345</v>
      </c>
      <c r="E124" s="582"/>
      <c r="F124" s="582"/>
      <c r="G124" s="582">
        <v>2</v>
      </c>
      <c r="H124" s="586">
        <v>2</v>
      </c>
      <c r="I124" s="581">
        <v>5</v>
      </c>
      <c r="J124" s="580">
        <v>7</v>
      </c>
      <c r="K124" s="580">
        <v>9</v>
      </c>
      <c r="L124" s="580">
        <v>10</v>
      </c>
      <c r="M124" s="581">
        <v>10</v>
      </c>
      <c r="N124" s="582">
        <v>11</v>
      </c>
      <c r="O124" s="582">
        <v>17</v>
      </c>
      <c r="P124" s="580">
        <v>21</v>
      </c>
      <c r="Q124" s="580">
        <v>22</v>
      </c>
      <c r="R124" s="580">
        <v>24</v>
      </c>
      <c r="S124" s="580"/>
      <c r="T124" s="575"/>
      <c r="U124" s="580">
        <v>2</v>
      </c>
      <c r="V124" s="580">
        <v>5</v>
      </c>
      <c r="W124" s="581">
        <v>7</v>
      </c>
      <c r="X124" s="580">
        <v>9</v>
      </c>
      <c r="Y124" s="580">
        <v>10</v>
      </c>
      <c r="Z124" s="581">
        <f t="shared" si="29"/>
        <v>10</v>
      </c>
      <c r="AA124" s="580">
        <f t="shared" si="29"/>
        <v>11</v>
      </c>
      <c r="AB124" s="580">
        <f t="shared" si="29"/>
        <v>17</v>
      </c>
      <c r="AC124" s="580">
        <f t="shared" si="29"/>
        <v>21</v>
      </c>
      <c r="AD124" s="580">
        <f t="shared" si="29"/>
        <v>22</v>
      </c>
      <c r="AE124" s="580">
        <f t="shared" si="29"/>
        <v>24</v>
      </c>
      <c r="AF124" s="899" t="s">
        <v>594</v>
      </c>
      <c r="AG124" s="890" t="s">
        <v>593</v>
      </c>
      <c r="AH124" s="824" t="s">
        <v>595</v>
      </c>
      <c r="AI124" s="824" t="s">
        <v>596</v>
      </c>
      <c r="AJ124" s="656" t="s">
        <v>499</v>
      </c>
      <c r="AK124" s="826" t="s">
        <v>490</v>
      </c>
      <c r="AL124" s="826" t="s">
        <v>597</v>
      </c>
      <c r="AM124" s="826" t="s">
        <v>491</v>
      </c>
      <c r="AN124" s="861">
        <v>661592</v>
      </c>
      <c r="AO124" s="861">
        <v>329690</v>
      </c>
      <c r="AP124" s="861">
        <v>331902</v>
      </c>
      <c r="AQ124" s="840" t="s">
        <v>492</v>
      </c>
      <c r="AR124" s="840" t="s">
        <v>492</v>
      </c>
      <c r="AS124" s="840" t="s">
        <v>492</v>
      </c>
      <c r="AT124" s="840" t="s">
        <v>492</v>
      </c>
      <c r="AU124" s="833" t="s">
        <v>492</v>
      </c>
      <c r="AV124" s="833" t="s">
        <v>492</v>
      </c>
      <c r="AW124" s="833" t="s">
        <v>492</v>
      </c>
      <c r="AX124" s="861">
        <v>650967</v>
      </c>
      <c r="AY124" s="584"/>
    </row>
    <row r="125" spans="1:51" ht="20.45" customHeight="1" x14ac:dyDescent="0.25">
      <c r="A125" s="828"/>
      <c r="B125" s="822"/>
      <c r="C125" s="822"/>
      <c r="D125" s="578" t="s">
        <v>349</v>
      </c>
      <c r="E125" s="582"/>
      <c r="F125" s="582"/>
      <c r="G125" s="582"/>
      <c r="H125" s="582">
        <v>69799545.454545453</v>
      </c>
      <c r="I125" s="580">
        <v>95974375</v>
      </c>
      <c r="J125" s="580">
        <v>94290614.03508772</v>
      </c>
      <c r="K125" s="580">
        <v>92135400</v>
      </c>
      <c r="L125" s="580">
        <v>84250430.107526883</v>
      </c>
      <c r="M125" s="580">
        <f>+M124*$Z$11/$Z$10</f>
        <v>70588198.198198199</v>
      </c>
      <c r="N125" s="582">
        <f>+N124*$AA$11/$AA$10</f>
        <v>66812550.387596898</v>
      </c>
      <c r="O125" s="582">
        <f>+O124*$AB$11/$AB$10</f>
        <v>93903489.79591836</v>
      </c>
      <c r="P125" s="580">
        <f>+P124*$AC$11/$AC$10</f>
        <v>103344054.54545455</v>
      </c>
      <c r="Q125" s="580">
        <f>+Q124*$AD$11/$AD$10</f>
        <v>102078617.14285715</v>
      </c>
      <c r="R125" s="580">
        <f>+R124*$AE$11/$AE$10</f>
        <v>110246797.88108107</v>
      </c>
      <c r="S125" s="580"/>
      <c r="T125" s="575"/>
      <c r="U125" s="580">
        <v>69799545.454545453</v>
      </c>
      <c r="V125" s="580">
        <v>95974375</v>
      </c>
      <c r="W125" s="581">
        <v>94290614.03508772</v>
      </c>
      <c r="X125" s="580">
        <v>92135400</v>
      </c>
      <c r="Y125" s="580">
        <v>84250430.107526883</v>
      </c>
      <c r="Z125" s="580">
        <f t="shared" si="29"/>
        <v>70588198.198198199</v>
      </c>
      <c r="AA125" s="580">
        <f t="shared" si="29"/>
        <v>66812550.387596898</v>
      </c>
      <c r="AB125" s="580">
        <f t="shared" si="29"/>
        <v>93903489.79591836</v>
      </c>
      <c r="AC125" s="580">
        <f t="shared" si="29"/>
        <v>103344054.54545455</v>
      </c>
      <c r="AD125" s="580">
        <f t="shared" si="29"/>
        <v>102078617.14285715</v>
      </c>
      <c r="AE125" s="580">
        <f t="shared" si="29"/>
        <v>110246797.88108107</v>
      </c>
      <c r="AF125" s="838"/>
      <c r="AG125" s="828"/>
      <c r="AH125" s="822"/>
      <c r="AI125" s="822"/>
      <c r="AJ125" s="661" t="s">
        <v>528</v>
      </c>
      <c r="AK125" s="806"/>
      <c r="AL125" s="806"/>
      <c r="AM125" s="806"/>
      <c r="AN125" s="806"/>
      <c r="AO125" s="806"/>
      <c r="AP125" s="806"/>
      <c r="AQ125" s="806"/>
      <c r="AR125" s="806"/>
      <c r="AS125" s="806"/>
      <c r="AT125" s="806"/>
      <c r="AU125" s="806"/>
      <c r="AV125" s="806"/>
      <c r="AW125" s="806"/>
      <c r="AX125" s="806"/>
      <c r="AY125" s="584"/>
    </row>
    <row r="126" spans="1:51" ht="28.9" customHeight="1" x14ac:dyDescent="0.25">
      <c r="A126" s="828"/>
      <c r="B126" s="822"/>
      <c r="C126" s="822"/>
      <c r="D126" s="579" t="s">
        <v>351</v>
      </c>
      <c r="E126" s="582"/>
      <c r="F126" s="582"/>
      <c r="G126" s="582"/>
      <c r="H126" s="582"/>
      <c r="I126" s="580"/>
      <c r="J126" s="581"/>
      <c r="K126" s="580"/>
      <c r="L126" s="580"/>
      <c r="M126" s="581"/>
      <c r="N126" s="582"/>
      <c r="O126" s="582"/>
      <c r="P126" s="580"/>
      <c r="Q126" s="580"/>
      <c r="R126" s="580"/>
      <c r="S126" s="580"/>
      <c r="T126" s="575"/>
      <c r="U126" s="580">
        <v>0</v>
      </c>
      <c r="V126" s="580">
        <v>0</v>
      </c>
      <c r="W126" s="581">
        <v>0</v>
      </c>
      <c r="X126" s="580">
        <v>0</v>
      </c>
      <c r="Y126" s="580">
        <v>0</v>
      </c>
      <c r="Z126" s="581">
        <f t="shared" si="29"/>
        <v>0</v>
      </c>
      <c r="AA126" s="580">
        <f t="shared" si="29"/>
        <v>0</v>
      </c>
      <c r="AB126" s="580">
        <f t="shared" si="29"/>
        <v>0</v>
      </c>
      <c r="AC126" s="580">
        <f t="shared" si="29"/>
        <v>0</v>
      </c>
      <c r="AD126" s="580">
        <f t="shared" si="29"/>
        <v>0</v>
      </c>
      <c r="AE126" s="580">
        <f t="shared" si="29"/>
        <v>0</v>
      </c>
      <c r="AF126" s="838"/>
      <c r="AG126" s="828"/>
      <c r="AH126" s="822"/>
      <c r="AI126" s="822"/>
      <c r="AJ126" s="657" t="s">
        <v>502</v>
      </c>
      <c r="AK126" s="806"/>
      <c r="AL126" s="806"/>
      <c r="AM126" s="806"/>
      <c r="AN126" s="806"/>
      <c r="AO126" s="806"/>
      <c r="AP126" s="806"/>
      <c r="AQ126" s="806"/>
      <c r="AR126" s="806"/>
      <c r="AS126" s="806"/>
      <c r="AT126" s="806"/>
      <c r="AU126" s="806"/>
      <c r="AV126" s="806"/>
      <c r="AW126" s="806"/>
      <c r="AX126" s="806"/>
      <c r="AY126" s="584"/>
    </row>
    <row r="127" spans="1:51" ht="30.6" customHeight="1" x14ac:dyDescent="0.25">
      <c r="A127" s="828"/>
      <c r="B127" s="822"/>
      <c r="C127" s="822"/>
      <c r="D127" s="578" t="s">
        <v>352</v>
      </c>
      <c r="E127" s="582"/>
      <c r="F127" s="582"/>
      <c r="G127" s="582"/>
      <c r="H127" s="582">
        <v>6088333.7142857146</v>
      </c>
      <c r="I127" s="575">
        <v>6530118.4117647056</v>
      </c>
      <c r="J127" s="575">
        <v>8720535.2352941185</v>
      </c>
      <c r="K127" s="575">
        <v>11096790.529411765</v>
      </c>
      <c r="L127" s="575">
        <v>13665398.388888888</v>
      </c>
      <c r="M127" s="575">
        <v>13665398.388888888</v>
      </c>
      <c r="N127" s="583">
        <v>13665398.388888888</v>
      </c>
      <c r="O127" s="583">
        <v>13665398.388888888</v>
      </c>
      <c r="P127" s="575">
        <v>12948133.842105264</v>
      </c>
      <c r="Q127" s="575">
        <v>12948133.842105264</v>
      </c>
      <c r="R127" s="575">
        <v>12948133.842105264</v>
      </c>
      <c r="S127" s="575"/>
      <c r="T127" s="575"/>
      <c r="U127" s="580">
        <v>6088333.7142857146</v>
      </c>
      <c r="V127" s="580">
        <v>6530118.4117647056</v>
      </c>
      <c r="W127" s="581">
        <v>8720535.2352941185</v>
      </c>
      <c r="X127" s="580">
        <v>11096790.529411765</v>
      </c>
      <c r="Y127" s="580">
        <v>13665398.388888888</v>
      </c>
      <c r="Z127" s="574">
        <f t="shared" si="29"/>
        <v>13665398.388888888</v>
      </c>
      <c r="AA127" s="580">
        <f t="shared" si="29"/>
        <v>13665398.388888888</v>
      </c>
      <c r="AB127" s="580">
        <f t="shared" si="29"/>
        <v>13665398.388888888</v>
      </c>
      <c r="AC127" s="580">
        <f t="shared" si="29"/>
        <v>12948133.842105264</v>
      </c>
      <c r="AD127" s="580">
        <f t="shared" si="29"/>
        <v>12948133.842105264</v>
      </c>
      <c r="AE127" s="575">
        <f t="shared" si="29"/>
        <v>12948133.842105264</v>
      </c>
      <c r="AF127" s="838"/>
      <c r="AG127" s="828"/>
      <c r="AH127" s="822"/>
      <c r="AI127" s="822"/>
      <c r="AJ127" s="661" t="s">
        <v>503</v>
      </c>
      <c r="AK127" s="806"/>
      <c r="AL127" s="806"/>
      <c r="AM127" s="806"/>
      <c r="AN127" s="806"/>
      <c r="AO127" s="806"/>
      <c r="AP127" s="806"/>
      <c r="AQ127" s="806"/>
      <c r="AR127" s="806"/>
      <c r="AS127" s="806"/>
      <c r="AT127" s="806"/>
      <c r="AU127" s="806"/>
      <c r="AV127" s="806"/>
      <c r="AW127" s="806"/>
      <c r="AX127" s="806"/>
      <c r="AY127" s="584"/>
    </row>
    <row r="128" spans="1:51" ht="72" customHeight="1" x14ac:dyDescent="0.25">
      <c r="A128" s="828"/>
      <c r="B128" s="822"/>
      <c r="C128" s="822"/>
      <c r="D128" s="579" t="s">
        <v>353</v>
      </c>
      <c r="E128" s="582"/>
      <c r="F128" s="582"/>
      <c r="G128" s="582"/>
      <c r="H128" s="582">
        <v>2</v>
      </c>
      <c r="I128" s="580">
        <v>5</v>
      </c>
      <c r="J128" s="581">
        <v>7</v>
      </c>
      <c r="K128" s="580">
        <v>9</v>
      </c>
      <c r="L128" s="580">
        <v>10</v>
      </c>
      <c r="M128" s="581">
        <v>10</v>
      </c>
      <c r="N128" s="582">
        <v>11</v>
      </c>
      <c r="O128" s="582">
        <v>17</v>
      </c>
      <c r="P128" s="580">
        <v>21</v>
      </c>
      <c r="Q128" s="580">
        <v>22</v>
      </c>
      <c r="R128" s="580">
        <v>24</v>
      </c>
      <c r="S128" s="580"/>
      <c r="T128" s="575"/>
      <c r="U128" s="580">
        <v>2</v>
      </c>
      <c r="V128" s="580">
        <v>5</v>
      </c>
      <c r="W128" s="581">
        <v>7</v>
      </c>
      <c r="X128" s="580">
        <v>9</v>
      </c>
      <c r="Y128" s="580">
        <v>10</v>
      </c>
      <c r="Z128" s="581">
        <f t="shared" si="29"/>
        <v>10</v>
      </c>
      <c r="AA128" s="580">
        <f t="shared" si="29"/>
        <v>11</v>
      </c>
      <c r="AB128" s="580">
        <f t="shared" si="29"/>
        <v>17</v>
      </c>
      <c r="AC128" s="580">
        <f t="shared" si="29"/>
        <v>21</v>
      </c>
      <c r="AD128" s="580">
        <f t="shared" si="29"/>
        <v>22</v>
      </c>
      <c r="AE128" s="580">
        <f t="shared" si="29"/>
        <v>24</v>
      </c>
      <c r="AF128" s="838"/>
      <c r="AG128" s="828"/>
      <c r="AH128" s="822"/>
      <c r="AI128" s="822"/>
      <c r="AJ128" s="662" t="s">
        <v>504</v>
      </c>
      <c r="AK128" s="806"/>
      <c r="AL128" s="806"/>
      <c r="AM128" s="806"/>
      <c r="AN128" s="806"/>
      <c r="AO128" s="806"/>
      <c r="AP128" s="806"/>
      <c r="AQ128" s="806"/>
      <c r="AR128" s="806"/>
      <c r="AS128" s="806"/>
      <c r="AT128" s="806"/>
      <c r="AU128" s="806"/>
      <c r="AV128" s="806"/>
      <c r="AW128" s="806"/>
      <c r="AX128" s="806"/>
      <c r="AY128" s="584"/>
    </row>
    <row r="129" spans="1:51" ht="28.9" customHeight="1" x14ac:dyDescent="0.25">
      <c r="A129" s="828"/>
      <c r="B129" s="822"/>
      <c r="C129" s="823"/>
      <c r="D129" s="578" t="s">
        <v>354</v>
      </c>
      <c r="E129" s="582"/>
      <c r="F129" s="582"/>
      <c r="G129" s="582"/>
      <c r="H129" s="582">
        <v>75887879.16883117</v>
      </c>
      <c r="I129" s="580">
        <v>102504493.41176471</v>
      </c>
      <c r="J129" s="580">
        <v>103011149.27038184</v>
      </c>
      <c r="K129" s="580">
        <v>103232190.52941176</v>
      </c>
      <c r="L129" s="580">
        <v>97915828.496415764</v>
      </c>
      <c r="M129" s="580">
        <f t="shared" ref="M129:R129" si="31">+M125+M127</f>
        <v>84253596.587087095</v>
      </c>
      <c r="N129" s="582">
        <f t="shared" si="31"/>
        <v>80477948.776485786</v>
      </c>
      <c r="O129" s="582">
        <f t="shared" si="31"/>
        <v>107568888.18480724</v>
      </c>
      <c r="P129" s="580">
        <f t="shared" si="31"/>
        <v>116292188.38755982</v>
      </c>
      <c r="Q129" s="580">
        <f t="shared" si="31"/>
        <v>115026750.98496242</v>
      </c>
      <c r="R129" s="580">
        <f t="shared" si="31"/>
        <v>123194931.72318634</v>
      </c>
      <c r="S129" s="580"/>
      <c r="T129" s="575"/>
      <c r="U129" s="580">
        <v>75887879.16883117</v>
      </c>
      <c r="V129" s="580">
        <v>102504493.41176471</v>
      </c>
      <c r="W129" s="581">
        <v>103011149.27038184</v>
      </c>
      <c r="X129" s="580">
        <v>103232190.52941176</v>
      </c>
      <c r="Y129" s="580">
        <v>97915828.496415764</v>
      </c>
      <c r="Z129" s="580">
        <f t="shared" si="29"/>
        <v>84253596.587087095</v>
      </c>
      <c r="AA129" s="580">
        <f t="shared" si="29"/>
        <v>80477948.776485786</v>
      </c>
      <c r="AB129" s="580">
        <f t="shared" si="29"/>
        <v>107568888.18480724</v>
      </c>
      <c r="AC129" s="580">
        <f t="shared" si="29"/>
        <v>116292188.38755982</v>
      </c>
      <c r="AD129" s="580">
        <f t="shared" si="29"/>
        <v>115026750.98496242</v>
      </c>
      <c r="AE129" s="580">
        <f t="shared" si="29"/>
        <v>123194931.72318634</v>
      </c>
      <c r="AF129" s="838"/>
      <c r="AG129" s="829"/>
      <c r="AH129" s="823"/>
      <c r="AI129" s="823"/>
      <c r="AJ129" s="659" t="s">
        <v>505</v>
      </c>
      <c r="AK129" s="807"/>
      <c r="AL129" s="807"/>
      <c r="AM129" s="807"/>
      <c r="AN129" s="807"/>
      <c r="AO129" s="807"/>
      <c r="AP129" s="807"/>
      <c r="AQ129" s="807"/>
      <c r="AR129" s="807"/>
      <c r="AS129" s="807"/>
      <c r="AT129" s="807"/>
      <c r="AU129" s="807"/>
      <c r="AV129" s="807"/>
      <c r="AW129" s="807"/>
      <c r="AX129" s="807"/>
      <c r="AY129" s="584"/>
    </row>
    <row r="130" spans="1:51" ht="19.149999999999999" customHeight="1" x14ac:dyDescent="0.25">
      <c r="A130" s="828"/>
      <c r="B130" s="822"/>
      <c r="C130" s="821" t="s">
        <v>598</v>
      </c>
      <c r="D130" s="572" t="s">
        <v>345</v>
      </c>
      <c r="E130" s="582"/>
      <c r="F130" s="582"/>
      <c r="G130" s="582">
        <v>185</v>
      </c>
      <c r="H130" s="582">
        <v>168</v>
      </c>
      <c r="I130" s="580">
        <v>150</v>
      </c>
      <c r="J130" s="580">
        <v>133</v>
      </c>
      <c r="K130" s="580">
        <v>115</v>
      </c>
      <c r="L130" s="580">
        <v>97</v>
      </c>
      <c r="M130" s="581">
        <v>80</v>
      </c>
      <c r="N130" s="582">
        <v>61</v>
      </c>
      <c r="O130" s="582">
        <v>43</v>
      </c>
      <c r="P130" s="580">
        <v>25</v>
      </c>
      <c r="Q130" s="580">
        <v>15</v>
      </c>
      <c r="R130" s="580">
        <v>5</v>
      </c>
      <c r="S130" s="580"/>
      <c r="T130" s="575"/>
      <c r="U130" s="580"/>
      <c r="V130" s="581"/>
      <c r="W130" s="581"/>
      <c r="X130" s="580"/>
      <c r="Y130" s="581"/>
      <c r="Z130" s="581"/>
      <c r="AA130" s="580"/>
      <c r="AB130" s="587"/>
      <c r="AC130" s="576"/>
      <c r="AD130" s="588"/>
      <c r="AE130" s="580"/>
      <c r="AF130" s="663"/>
      <c r="AG130" s="827"/>
      <c r="AH130" s="824"/>
      <c r="AI130" s="824"/>
      <c r="AJ130" s="821"/>
      <c r="AK130" s="826"/>
      <c r="AL130" s="826"/>
      <c r="AM130" s="826" t="s">
        <v>491</v>
      </c>
      <c r="AN130" s="820">
        <v>7968095</v>
      </c>
      <c r="AO130" s="820">
        <v>3815676</v>
      </c>
      <c r="AP130" s="820">
        <v>4152419</v>
      </c>
      <c r="AQ130" s="833" t="s">
        <v>492</v>
      </c>
      <c r="AR130" s="833" t="s">
        <v>492</v>
      </c>
      <c r="AS130" s="833" t="s">
        <v>492</v>
      </c>
      <c r="AT130" s="833" t="s">
        <v>492</v>
      </c>
      <c r="AU130" s="833" t="s">
        <v>492</v>
      </c>
      <c r="AV130" s="833" t="s">
        <v>492</v>
      </c>
      <c r="AW130" s="833" t="s">
        <v>492</v>
      </c>
      <c r="AX130" s="820">
        <v>7936532</v>
      </c>
      <c r="AY130" s="584"/>
    </row>
    <row r="131" spans="1:51" ht="19.149999999999999" customHeight="1" x14ac:dyDescent="0.25">
      <c r="A131" s="828"/>
      <c r="B131" s="822"/>
      <c r="C131" s="822"/>
      <c r="D131" s="578" t="s">
        <v>349</v>
      </c>
      <c r="E131" s="582"/>
      <c r="F131" s="582"/>
      <c r="G131" s="582"/>
      <c r="H131" s="582">
        <v>57762000</v>
      </c>
      <c r="I131" s="580">
        <v>57762000</v>
      </c>
      <c r="J131" s="580">
        <v>57762000</v>
      </c>
      <c r="K131" s="580">
        <v>57762000</v>
      </c>
      <c r="L131" s="580">
        <v>42028000</v>
      </c>
      <c r="M131" s="580">
        <v>79858067</v>
      </c>
      <c r="N131" s="582">
        <f t="shared" ref="N131:R131" si="32">+N11-AA11</f>
        <v>79858067</v>
      </c>
      <c r="O131" s="582">
        <f t="shared" si="32"/>
        <v>51398067</v>
      </c>
      <c r="P131" s="580">
        <f t="shared" si="32"/>
        <v>41251566</v>
      </c>
      <c r="Q131" s="580">
        <f t="shared" si="32"/>
        <v>39191799</v>
      </c>
      <c r="R131" s="580">
        <f t="shared" si="32"/>
        <v>1361732</v>
      </c>
      <c r="S131" s="580"/>
      <c r="T131" s="575"/>
      <c r="U131" s="580"/>
      <c r="V131" s="581"/>
      <c r="W131" s="581"/>
      <c r="X131" s="581"/>
      <c r="Y131" s="581"/>
      <c r="Z131" s="589"/>
      <c r="AA131" s="580"/>
      <c r="AB131" s="580"/>
      <c r="AC131" s="580"/>
      <c r="AD131" s="588"/>
      <c r="AE131" s="580"/>
      <c r="AF131" s="663"/>
      <c r="AG131" s="828"/>
      <c r="AH131" s="822"/>
      <c r="AI131" s="822"/>
      <c r="AJ131" s="822"/>
      <c r="AK131" s="806"/>
      <c r="AL131" s="806"/>
      <c r="AM131" s="806"/>
      <c r="AN131" s="806"/>
      <c r="AO131" s="806"/>
      <c r="AP131" s="806"/>
      <c r="AQ131" s="806"/>
      <c r="AR131" s="806"/>
      <c r="AS131" s="806"/>
      <c r="AT131" s="806"/>
      <c r="AU131" s="806"/>
      <c r="AV131" s="806"/>
      <c r="AW131" s="806"/>
      <c r="AX131" s="806"/>
      <c r="AY131" s="584"/>
    </row>
    <row r="132" spans="1:51" ht="28.9" customHeight="1" x14ac:dyDescent="0.25">
      <c r="A132" s="828"/>
      <c r="B132" s="822"/>
      <c r="C132" s="822"/>
      <c r="D132" s="579" t="s">
        <v>351</v>
      </c>
      <c r="E132" s="582"/>
      <c r="F132" s="582"/>
      <c r="G132" s="582"/>
      <c r="H132" s="582"/>
      <c r="I132" s="580"/>
      <c r="J132" s="580"/>
      <c r="K132" s="580"/>
      <c r="L132" s="580"/>
      <c r="M132" s="581"/>
      <c r="N132" s="582"/>
      <c r="O132" s="582"/>
      <c r="P132" s="580"/>
      <c r="Q132" s="580"/>
      <c r="R132" s="580"/>
      <c r="S132" s="580"/>
      <c r="T132" s="575"/>
      <c r="U132" s="581"/>
      <c r="V132" s="581"/>
      <c r="W132" s="581"/>
      <c r="X132" s="581"/>
      <c r="Y132" s="581"/>
      <c r="Z132" s="581"/>
      <c r="AA132" s="580"/>
      <c r="AB132" s="587"/>
      <c r="AC132" s="576"/>
      <c r="AD132" s="588"/>
      <c r="AE132" s="580"/>
      <c r="AF132" s="663"/>
      <c r="AG132" s="828"/>
      <c r="AH132" s="822"/>
      <c r="AI132" s="822"/>
      <c r="AJ132" s="822"/>
      <c r="AK132" s="806"/>
      <c r="AL132" s="806"/>
      <c r="AM132" s="806"/>
      <c r="AN132" s="806"/>
      <c r="AO132" s="806"/>
      <c r="AP132" s="806"/>
      <c r="AQ132" s="806"/>
      <c r="AR132" s="806"/>
      <c r="AS132" s="806"/>
      <c r="AT132" s="806"/>
      <c r="AU132" s="806"/>
      <c r="AV132" s="806"/>
      <c r="AW132" s="806"/>
      <c r="AX132" s="806"/>
      <c r="AY132" s="584"/>
    </row>
    <row r="133" spans="1:51" ht="28.9" customHeight="1" x14ac:dyDescent="0.25">
      <c r="A133" s="828"/>
      <c r="B133" s="822"/>
      <c r="C133" s="822"/>
      <c r="D133" s="578" t="s">
        <v>352</v>
      </c>
      <c r="E133" s="582"/>
      <c r="F133" s="582"/>
      <c r="G133" s="582"/>
      <c r="H133" s="582">
        <v>160833436</v>
      </c>
      <c r="I133" s="575">
        <v>135058095</v>
      </c>
      <c r="J133" s="575">
        <v>97821009</v>
      </c>
      <c r="K133" s="575">
        <v>57424669</v>
      </c>
      <c r="L133" s="575">
        <v>41228</v>
      </c>
      <c r="M133" s="575">
        <v>41228</v>
      </c>
      <c r="N133" s="583">
        <v>41228</v>
      </c>
      <c r="O133" s="583">
        <v>41228</v>
      </c>
      <c r="P133" s="575">
        <f t="shared" ref="P133:R133" si="33">+P13-AC13</f>
        <v>3856</v>
      </c>
      <c r="Q133" s="575">
        <f t="shared" si="33"/>
        <v>3856</v>
      </c>
      <c r="R133" s="575">
        <f t="shared" si="33"/>
        <v>0</v>
      </c>
      <c r="S133" s="575"/>
      <c r="T133" s="575"/>
      <c r="U133" s="581"/>
      <c r="V133" s="581"/>
      <c r="W133" s="581"/>
      <c r="X133" s="581"/>
      <c r="Y133" s="581"/>
      <c r="Z133" s="581"/>
      <c r="AA133" s="580"/>
      <c r="AB133" s="587"/>
      <c r="AC133" s="576"/>
      <c r="AD133" s="588"/>
      <c r="AE133" s="575"/>
      <c r="AF133" s="663"/>
      <c r="AG133" s="828"/>
      <c r="AH133" s="822"/>
      <c r="AI133" s="822"/>
      <c r="AJ133" s="822"/>
      <c r="AK133" s="806"/>
      <c r="AL133" s="806"/>
      <c r="AM133" s="806"/>
      <c r="AN133" s="806"/>
      <c r="AO133" s="806"/>
      <c r="AP133" s="806"/>
      <c r="AQ133" s="806"/>
      <c r="AR133" s="806"/>
      <c r="AS133" s="806"/>
      <c r="AT133" s="806"/>
      <c r="AU133" s="806"/>
      <c r="AV133" s="806"/>
      <c r="AW133" s="806"/>
      <c r="AX133" s="806"/>
      <c r="AY133" s="584"/>
    </row>
    <row r="134" spans="1:51" ht="28.9" customHeight="1" x14ac:dyDescent="0.25">
      <c r="A134" s="828"/>
      <c r="B134" s="822"/>
      <c r="C134" s="822"/>
      <c r="D134" s="579" t="s">
        <v>353</v>
      </c>
      <c r="E134" s="582"/>
      <c r="F134" s="582"/>
      <c r="G134" s="582"/>
      <c r="H134" s="582">
        <v>168</v>
      </c>
      <c r="I134" s="580">
        <v>150</v>
      </c>
      <c r="J134" s="580">
        <v>133</v>
      </c>
      <c r="K134" s="580">
        <v>115</v>
      </c>
      <c r="L134" s="580">
        <v>97</v>
      </c>
      <c r="M134" s="581">
        <v>80</v>
      </c>
      <c r="N134" s="582">
        <v>61</v>
      </c>
      <c r="O134" s="582">
        <v>43</v>
      </c>
      <c r="P134" s="580">
        <v>25</v>
      </c>
      <c r="Q134" s="580">
        <v>15</v>
      </c>
      <c r="R134" s="580">
        <v>5</v>
      </c>
      <c r="S134" s="580"/>
      <c r="T134" s="575"/>
      <c r="U134" s="581"/>
      <c r="V134" s="581"/>
      <c r="W134" s="581"/>
      <c r="X134" s="581"/>
      <c r="Y134" s="581"/>
      <c r="Z134" s="581"/>
      <c r="AA134" s="580"/>
      <c r="AB134" s="580"/>
      <c r="AC134" s="576"/>
      <c r="AD134" s="588"/>
      <c r="AE134" s="580"/>
      <c r="AF134" s="663"/>
      <c r="AG134" s="828"/>
      <c r="AH134" s="822"/>
      <c r="AI134" s="822"/>
      <c r="AJ134" s="822"/>
      <c r="AK134" s="806"/>
      <c r="AL134" s="806"/>
      <c r="AM134" s="806"/>
      <c r="AN134" s="806"/>
      <c r="AO134" s="806"/>
      <c r="AP134" s="806"/>
      <c r="AQ134" s="806"/>
      <c r="AR134" s="806"/>
      <c r="AS134" s="806"/>
      <c r="AT134" s="806"/>
      <c r="AU134" s="806"/>
      <c r="AV134" s="806"/>
      <c r="AW134" s="806"/>
      <c r="AX134" s="806"/>
      <c r="AY134" s="584"/>
    </row>
    <row r="135" spans="1:51" ht="28.9" customHeight="1" x14ac:dyDescent="0.25">
      <c r="A135" s="828"/>
      <c r="B135" s="822"/>
      <c r="C135" s="823"/>
      <c r="D135" s="578" t="s">
        <v>354</v>
      </c>
      <c r="E135" s="582"/>
      <c r="F135" s="582"/>
      <c r="G135" s="582"/>
      <c r="H135" s="582">
        <v>218595436</v>
      </c>
      <c r="I135" s="580">
        <v>192820095</v>
      </c>
      <c r="J135" s="580">
        <v>155583009</v>
      </c>
      <c r="K135" s="580">
        <v>115186669</v>
      </c>
      <c r="L135" s="580">
        <v>42069228</v>
      </c>
      <c r="M135" s="580">
        <f t="shared" ref="M135:R135" si="34">+M131+M133</f>
        <v>79899295</v>
      </c>
      <c r="N135" s="582">
        <f t="shared" si="34"/>
        <v>79899295</v>
      </c>
      <c r="O135" s="582">
        <f t="shared" si="34"/>
        <v>51439295</v>
      </c>
      <c r="P135" s="580">
        <f t="shared" si="34"/>
        <v>41255422</v>
      </c>
      <c r="Q135" s="580">
        <f t="shared" si="34"/>
        <v>39195655</v>
      </c>
      <c r="R135" s="580">
        <f t="shared" si="34"/>
        <v>1361732</v>
      </c>
      <c r="S135" s="580"/>
      <c r="T135" s="575"/>
      <c r="U135" s="580"/>
      <c r="V135" s="581"/>
      <c r="W135" s="581"/>
      <c r="X135" s="581"/>
      <c r="Y135" s="581"/>
      <c r="Z135" s="581"/>
      <c r="AA135" s="580"/>
      <c r="AB135" s="580"/>
      <c r="AC135" s="576"/>
      <c r="AD135" s="588"/>
      <c r="AE135" s="580"/>
      <c r="AF135" s="663"/>
      <c r="AG135" s="829"/>
      <c r="AH135" s="823"/>
      <c r="AI135" s="823"/>
      <c r="AJ135" s="823"/>
      <c r="AK135" s="807"/>
      <c r="AL135" s="807"/>
      <c r="AM135" s="807"/>
      <c r="AN135" s="807"/>
      <c r="AO135" s="807"/>
      <c r="AP135" s="807"/>
      <c r="AQ135" s="807"/>
      <c r="AR135" s="807"/>
      <c r="AS135" s="807"/>
      <c r="AT135" s="807"/>
      <c r="AU135" s="807"/>
      <c r="AV135" s="807"/>
      <c r="AW135" s="807"/>
      <c r="AX135" s="807"/>
      <c r="AY135" s="584"/>
    </row>
    <row r="136" spans="1:51" ht="19.149999999999999" customHeight="1" x14ac:dyDescent="0.25">
      <c r="A136" s="828"/>
      <c r="B136" s="822"/>
      <c r="C136" s="821" t="s">
        <v>599</v>
      </c>
      <c r="D136" s="572" t="s">
        <v>345</v>
      </c>
      <c r="E136" s="582">
        <v>190</v>
      </c>
      <c r="F136" s="582">
        <v>190</v>
      </c>
      <c r="G136" s="582">
        <v>190</v>
      </c>
      <c r="H136" s="582">
        <v>190</v>
      </c>
      <c r="I136" s="580">
        <v>190</v>
      </c>
      <c r="J136" s="580">
        <v>190</v>
      </c>
      <c r="K136" s="580">
        <v>190</v>
      </c>
      <c r="L136" s="580">
        <f t="shared" ref="L136:M136" si="35">+L16+L28+L34+L40+L46+L52+L58+L64+L70+L76+L82+L88+L94+L100+L106+L112+L118+L124+L130</f>
        <v>190</v>
      </c>
      <c r="M136" s="580">
        <f t="shared" si="35"/>
        <v>190</v>
      </c>
      <c r="N136" s="582">
        <f t="shared" ref="N136:P136" si="36">+N16+N22+N28+N34+N40+N46+N52+N58+N64+N70+N76+N82+N88+N94+N100+N106+N112+N118+N124+N130</f>
        <v>190</v>
      </c>
      <c r="O136" s="582">
        <f t="shared" si="36"/>
        <v>190</v>
      </c>
      <c r="P136" s="580">
        <f t="shared" si="36"/>
        <v>190</v>
      </c>
      <c r="Q136" s="580">
        <v>190</v>
      </c>
      <c r="R136" s="580">
        <v>190</v>
      </c>
      <c r="S136" s="580"/>
      <c r="T136" s="580">
        <v>5</v>
      </c>
      <c r="U136" s="580">
        <v>22</v>
      </c>
      <c r="V136" s="580">
        <v>40</v>
      </c>
      <c r="W136" s="580">
        <v>57</v>
      </c>
      <c r="X136" s="580">
        <v>75</v>
      </c>
      <c r="Y136" s="580">
        <v>93</v>
      </c>
      <c r="Z136" s="580">
        <f t="shared" ref="Z136:AE141" si="37">+Z16+Z22+Z28+Z34+Z40+Z46+Z52+Z58+Z64+Z70+Z76+Z82+Z88+Z94+Z100+Z106+Z112+Z118+Z124+Z130</f>
        <v>111</v>
      </c>
      <c r="AA136" s="580">
        <f t="shared" si="37"/>
        <v>129</v>
      </c>
      <c r="AB136" s="580">
        <f t="shared" si="37"/>
        <v>147</v>
      </c>
      <c r="AC136" s="580">
        <f t="shared" si="37"/>
        <v>165</v>
      </c>
      <c r="AD136" s="580">
        <f t="shared" si="37"/>
        <v>175</v>
      </c>
      <c r="AE136" s="580">
        <f t="shared" si="37"/>
        <v>185</v>
      </c>
      <c r="AF136" s="663"/>
      <c r="AG136" s="827" t="s">
        <v>489</v>
      </c>
      <c r="AH136" s="824" t="s">
        <v>178</v>
      </c>
      <c r="AI136" s="824" t="s">
        <v>178</v>
      </c>
      <c r="AJ136" s="824" t="s">
        <v>178</v>
      </c>
      <c r="AK136" s="826" t="s">
        <v>490</v>
      </c>
      <c r="AL136" s="826" t="s">
        <v>178</v>
      </c>
      <c r="AM136" s="826" t="s">
        <v>491</v>
      </c>
      <c r="AN136" s="820">
        <v>7968095</v>
      </c>
      <c r="AO136" s="820">
        <v>3815676</v>
      </c>
      <c r="AP136" s="820">
        <v>4152419</v>
      </c>
      <c r="AQ136" s="833" t="s">
        <v>492</v>
      </c>
      <c r="AR136" s="833" t="s">
        <v>492</v>
      </c>
      <c r="AS136" s="833" t="s">
        <v>492</v>
      </c>
      <c r="AT136" s="833" t="s">
        <v>492</v>
      </c>
      <c r="AU136" s="833" t="s">
        <v>492</v>
      </c>
      <c r="AV136" s="833" t="s">
        <v>492</v>
      </c>
      <c r="AW136" s="833" t="s">
        <v>492</v>
      </c>
      <c r="AX136" s="820">
        <v>7936532</v>
      </c>
      <c r="AY136" s="584"/>
    </row>
    <row r="137" spans="1:51" ht="19.149999999999999" customHeight="1" x14ac:dyDescent="0.25">
      <c r="A137" s="828"/>
      <c r="B137" s="822"/>
      <c r="C137" s="822"/>
      <c r="D137" s="578" t="s">
        <v>349</v>
      </c>
      <c r="E137" s="582">
        <v>825557000</v>
      </c>
      <c r="F137" s="582">
        <v>825557000</v>
      </c>
      <c r="G137" s="582">
        <v>825557000</v>
      </c>
      <c r="H137" s="582">
        <v>825557000.00000012</v>
      </c>
      <c r="I137" s="580">
        <v>825557000</v>
      </c>
      <c r="J137" s="580">
        <v>825557000</v>
      </c>
      <c r="K137" s="580">
        <v>825557000.00000012</v>
      </c>
      <c r="L137" s="580">
        <v>825556999.99999988</v>
      </c>
      <c r="M137" s="580">
        <f t="shared" ref="M137:R140" si="38">+M17+M23+M29+M35+M41+M47+M53+M59+M65+M71+M77+M83+M89+M95+M101+M107+M113+M119+M125+M131</f>
        <v>863387066.99999988</v>
      </c>
      <c r="N137" s="582">
        <f t="shared" si="38"/>
        <v>863387067.00000012</v>
      </c>
      <c r="O137" s="582">
        <f t="shared" si="38"/>
        <v>863387067</v>
      </c>
      <c r="P137" s="580">
        <f t="shared" si="38"/>
        <v>853240565.99999988</v>
      </c>
      <c r="Q137" s="580">
        <f t="shared" si="38"/>
        <v>851180799</v>
      </c>
      <c r="R137" s="580">
        <f t="shared" si="38"/>
        <v>851180798.99999988</v>
      </c>
      <c r="S137" s="580"/>
      <c r="T137" s="580">
        <v>382172000</v>
      </c>
      <c r="U137" s="580">
        <v>767795000.00000012</v>
      </c>
      <c r="V137" s="580">
        <v>767795000</v>
      </c>
      <c r="W137" s="580">
        <v>767795000</v>
      </c>
      <c r="X137" s="580">
        <v>767795000.00000012</v>
      </c>
      <c r="Y137" s="580">
        <v>783528999.99999988</v>
      </c>
      <c r="Z137" s="580">
        <f t="shared" si="37"/>
        <v>783528999.99999988</v>
      </c>
      <c r="AA137" s="580">
        <f t="shared" si="37"/>
        <v>783529000.00000012</v>
      </c>
      <c r="AB137" s="580">
        <f t="shared" si="37"/>
        <v>811989000</v>
      </c>
      <c r="AC137" s="580">
        <f t="shared" si="37"/>
        <v>811988999.99999988</v>
      </c>
      <c r="AD137" s="580">
        <f t="shared" si="37"/>
        <v>811989000</v>
      </c>
      <c r="AE137" s="580">
        <f t="shared" si="37"/>
        <v>849819066.99999988</v>
      </c>
      <c r="AF137" s="663"/>
      <c r="AG137" s="828"/>
      <c r="AH137" s="822"/>
      <c r="AI137" s="822"/>
      <c r="AJ137" s="822"/>
      <c r="AK137" s="806"/>
      <c r="AL137" s="806"/>
      <c r="AM137" s="806"/>
      <c r="AN137" s="806"/>
      <c r="AO137" s="806"/>
      <c r="AP137" s="806"/>
      <c r="AQ137" s="806"/>
      <c r="AR137" s="806"/>
      <c r="AS137" s="806"/>
      <c r="AT137" s="806"/>
      <c r="AU137" s="806"/>
      <c r="AV137" s="806"/>
      <c r="AW137" s="806"/>
      <c r="AX137" s="806"/>
      <c r="AY137" s="584"/>
    </row>
    <row r="138" spans="1:51" ht="28.9" customHeight="1" x14ac:dyDescent="0.25">
      <c r="A138" s="828"/>
      <c r="B138" s="822"/>
      <c r="C138" s="822"/>
      <c r="D138" s="579" t="s">
        <v>351</v>
      </c>
      <c r="E138" s="582">
        <v>0</v>
      </c>
      <c r="F138" s="582">
        <v>0</v>
      </c>
      <c r="G138" s="582">
        <v>0</v>
      </c>
      <c r="H138" s="582">
        <v>0</v>
      </c>
      <c r="I138" s="580">
        <v>0</v>
      </c>
      <c r="J138" s="580">
        <v>0</v>
      </c>
      <c r="K138" s="580">
        <v>0</v>
      </c>
      <c r="L138" s="580">
        <v>0</v>
      </c>
      <c r="M138" s="580">
        <f t="shared" ref="M138:M140" si="39">+M18+M30+M36+M42+M48+M54+M60+M66+M72+M78+M84+M90+M96+M102+M108+M114+M120+M126+M132</f>
        <v>0</v>
      </c>
      <c r="N138" s="582">
        <f t="shared" si="38"/>
        <v>0</v>
      </c>
      <c r="O138" s="582">
        <f t="shared" si="38"/>
        <v>0</v>
      </c>
      <c r="P138" s="580">
        <f t="shared" si="38"/>
        <v>0</v>
      </c>
      <c r="Q138" s="580">
        <f t="shared" si="38"/>
        <v>0</v>
      </c>
      <c r="R138" s="580">
        <f t="shared" si="38"/>
        <v>0</v>
      </c>
      <c r="S138" s="580"/>
      <c r="T138" s="580">
        <v>0</v>
      </c>
      <c r="U138" s="580">
        <v>0</v>
      </c>
      <c r="V138" s="580">
        <v>0</v>
      </c>
      <c r="W138" s="580">
        <v>0</v>
      </c>
      <c r="X138" s="580">
        <v>0</v>
      </c>
      <c r="Y138" s="580">
        <v>0</v>
      </c>
      <c r="Z138" s="580">
        <f t="shared" si="37"/>
        <v>0</v>
      </c>
      <c r="AA138" s="580">
        <f t="shared" si="37"/>
        <v>0</v>
      </c>
      <c r="AB138" s="580">
        <f t="shared" si="37"/>
        <v>0</v>
      </c>
      <c r="AC138" s="580">
        <f t="shared" si="37"/>
        <v>0</v>
      </c>
      <c r="AD138" s="580">
        <f t="shared" si="37"/>
        <v>0</v>
      </c>
      <c r="AE138" s="580">
        <f t="shared" si="37"/>
        <v>0</v>
      </c>
      <c r="AF138" s="663"/>
      <c r="AG138" s="828"/>
      <c r="AH138" s="822"/>
      <c r="AI138" s="822"/>
      <c r="AJ138" s="822"/>
      <c r="AK138" s="806"/>
      <c r="AL138" s="806"/>
      <c r="AM138" s="806"/>
      <c r="AN138" s="806"/>
      <c r="AO138" s="806"/>
      <c r="AP138" s="806"/>
      <c r="AQ138" s="806"/>
      <c r="AR138" s="806"/>
      <c r="AS138" s="806"/>
      <c r="AT138" s="806"/>
      <c r="AU138" s="806"/>
      <c r="AV138" s="806"/>
      <c r="AW138" s="806"/>
      <c r="AX138" s="806"/>
      <c r="AY138" s="584"/>
    </row>
    <row r="139" spans="1:51" ht="28.9" customHeight="1" x14ac:dyDescent="0.25">
      <c r="A139" s="828"/>
      <c r="B139" s="822"/>
      <c r="C139" s="822"/>
      <c r="D139" s="578" t="s">
        <v>352</v>
      </c>
      <c r="E139" s="582">
        <v>246070108</v>
      </c>
      <c r="F139" s="582">
        <v>246070108</v>
      </c>
      <c r="G139" s="582">
        <v>246070108</v>
      </c>
      <c r="H139" s="582">
        <v>247911203.7857143</v>
      </c>
      <c r="I139" s="580">
        <v>246070108</v>
      </c>
      <c r="J139" s="580">
        <v>246070108</v>
      </c>
      <c r="K139" s="580">
        <v>246070108</v>
      </c>
      <c r="L139" s="580">
        <v>246018399.00000009</v>
      </c>
      <c r="M139" s="580">
        <f t="shared" si="39"/>
        <v>246018399.00000009</v>
      </c>
      <c r="N139" s="582">
        <f t="shared" si="38"/>
        <v>246018399.00000009</v>
      </c>
      <c r="O139" s="582">
        <f t="shared" si="38"/>
        <v>246018399.00000009</v>
      </c>
      <c r="P139" s="580">
        <f t="shared" si="38"/>
        <v>246018399.00000009</v>
      </c>
      <c r="Q139" s="580">
        <f t="shared" si="38"/>
        <v>246018399.00000009</v>
      </c>
      <c r="R139" s="580">
        <f t="shared" si="38"/>
        <v>246014543.00000009</v>
      </c>
      <c r="S139" s="580"/>
      <c r="T139" s="580">
        <v>53090449</v>
      </c>
      <c r="U139" s="580">
        <v>87077767.785714298</v>
      </c>
      <c r="V139" s="580">
        <v>111012013.00000001</v>
      </c>
      <c r="W139" s="580">
        <v>148249099</v>
      </c>
      <c r="X139" s="580">
        <v>188645439</v>
      </c>
      <c r="Y139" s="580">
        <v>245977171.00000009</v>
      </c>
      <c r="Z139" s="580">
        <f t="shared" si="37"/>
        <v>245977171.00000009</v>
      </c>
      <c r="AA139" s="580">
        <f t="shared" si="37"/>
        <v>245977171.00000009</v>
      </c>
      <c r="AB139" s="580">
        <f t="shared" si="37"/>
        <v>245977171.00000009</v>
      </c>
      <c r="AC139" s="580">
        <f t="shared" si="37"/>
        <v>246014543.00000009</v>
      </c>
      <c r="AD139" s="580">
        <f t="shared" si="37"/>
        <v>246014543.00000009</v>
      </c>
      <c r="AE139" s="580">
        <f t="shared" si="37"/>
        <v>246014543.00000009</v>
      </c>
      <c r="AF139" s="663"/>
      <c r="AG139" s="828"/>
      <c r="AH139" s="822"/>
      <c r="AI139" s="822"/>
      <c r="AJ139" s="822"/>
      <c r="AK139" s="806"/>
      <c r="AL139" s="806"/>
      <c r="AM139" s="806"/>
      <c r="AN139" s="806"/>
      <c r="AO139" s="806"/>
      <c r="AP139" s="806"/>
      <c r="AQ139" s="806"/>
      <c r="AR139" s="806"/>
      <c r="AS139" s="806"/>
      <c r="AT139" s="806"/>
      <c r="AU139" s="806"/>
      <c r="AV139" s="806"/>
      <c r="AW139" s="806"/>
      <c r="AX139" s="806"/>
      <c r="AY139" s="584"/>
    </row>
    <row r="140" spans="1:51" ht="28.9" customHeight="1" x14ac:dyDescent="0.25">
      <c r="A140" s="828"/>
      <c r="B140" s="822"/>
      <c r="C140" s="822"/>
      <c r="D140" s="579" t="s">
        <v>353</v>
      </c>
      <c r="E140" s="582">
        <v>190</v>
      </c>
      <c r="F140" s="582">
        <v>190</v>
      </c>
      <c r="G140" s="582">
        <v>190</v>
      </c>
      <c r="H140" s="582">
        <v>190</v>
      </c>
      <c r="I140" s="580">
        <v>190</v>
      </c>
      <c r="J140" s="580">
        <v>190</v>
      </c>
      <c r="K140" s="580">
        <v>190</v>
      </c>
      <c r="L140" s="580">
        <v>190</v>
      </c>
      <c r="M140" s="580">
        <f t="shared" si="39"/>
        <v>190</v>
      </c>
      <c r="N140" s="582">
        <f t="shared" si="38"/>
        <v>190</v>
      </c>
      <c r="O140" s="582">
        <f t="shared" si="38"/>
        <v>190</v>
      </c>
      <c r="P140" s="580">
        <f t="shared" si="38"/>
        <v>190</v>
      </c>
      <c r="Q140" s="580">
        <f t="shared" si="38"/>
        <v>190</v>
      </c>
      <c r="R140" s="580">
        <f t="shared" si="38"/>
        <v>190</v>
      </c>
      <c r="S140" s="580"/>
      <c r="T140" s="580">
        <v>5</v>
      </c>
      <c r="U140" s="580">
        <v>22</v>
      </c>
      <c r="V140" s="580">
        <v>40</v>
      </c>
      <c r="W140" s="580">
        <v>57</v>
      </c>
      <c r="X140" s="580">
        <v>75</v>
      </c>
      <c r="Y140" s="580">
        <v>93</v>
      </c>
      <c r="Z140" s="580">
        <f t="shared" si="37"/>
        <v>111</v>
      </c>
      <c r="AA140" s="580">
        <f t="shared" si="37"/>
        <v>129</v>
      </c>
      <c r="AB140" s="580">
        <f t="shared" si="37"/>
        <v>147</v>
      </c>
      <c r="AC140" s="580">
        <f t="shared" si="37"/>
        <v>165</v>
      </c>
      <c r="AD140" s="580">
        <f t="shared" si="37"/>
        <v>175</v>
      </c>
      <c r="AE140" s="580">
        <f t="shared" si="37"/>
        <v>185</v>
      </c>
      <c r="AF140" s="663"/>
      <c r="AG140" s="828"/>
      <c r="AH140" s="822"/>
      <c r="AI140" s="822"/>
      <c r="AJ140" s="822"/>
      <c r="AK140" s="806"/>
      <c r="AL140" s="806"/>
      <c r="AM140" s="806"/>
      <c r="AN140" s="806"/>
      <c r="AO140" s="806"/>
      <c r="AP140" s="806"/>
      <c r="AQ140" s="806"/>
      <c r="AR140" s="806"/>
      <c r="AS140" s="806"/>
      <c r="AT140" s="806"/>
      <c r="AU140" s="806"/>
      <c r="AV140" s="806"/>
      <c r="AW140" s="806"/>
      <c r="AX140" s="806"/>
      <c r="AY140" s="584"/>
    </row>
    <row r="141" spans="1:51" ht="28.9" customHeight="1" thickBot="1" x14ac:dyDescent="0.3">
      <c r="A141" s="829"/>
      <c r="B141" s="832"/>
      <c r="C141" s="823"/>
      <c r="D141" s="578" t="s">
        <v>354</v>
      </c>
      <c r="E141" s="582">
        <v>1071627108</v>
      </c>
      <c r="F141" s="582">
        <v>1071627108</v>
      </c>
      <c r="G141" s="582">
        <v>1071627108</v>
      </c>
      <c r="H141" s="582">
        <v>1073468203.7857144</v>
      </c>
      <c r="I141" s="580">
        <v>1071627108.0000002</v>
      </c>
      <c r="J141" s="580">
        <v>1071627107.9999998</v>
      </c>
      <c r="K141" s="580">
        <v>1071627108</v>
      </c>
      <c r="L141" s="580">
        <v>1071575399.0000002</v>
      </c>
      <c r="M141" s="580">
        <f t="shared" ref="M141:R141" si="40">+M21+M27+M33+M39+M45+M51+M57+M63+M69+M75+M81+M87+M93+M99+M105+M111+M117+M123+M129+M135</f>
        <v>1109405466</v>
      </c>
      <c r="N141" s="582">
        <f t="shared" si="40"/>
        <v>1109405466</v>
      </c>
      <c r="O141" s="582">
        <f t="shared" si="40"/>
        <v>1109405466</v>
      </c>
      <c r="P141" s="580">
        <f t="shared" si="40"/>
        <v>1099258965</v>
      </c>
      <c r="Q141" s="580">
        <f t="shared" si="40"/>
        <v>1097199198</v>
      </c>
      <c r="R141" s="580">
        <f t="shared" si="40"/>
        <v>1097195342</v>
      </c>
      <c r="S141" s="580"/>
      <c r="T141" s="580">
        <v>435262449</v>
      </c>
      <c r="U141" s="580">
        <v>854872767.78571439</v>
      </c>
      <c r="V141" s="580">
        <v>878807013.00000024</v>
      </c>
      <c r="W141" s="580">
        <v>916044098.99999976</v>
      </c>
      <c r="X141" s="580">
        <v>956440439</v>
      </c>
      <c r="Y141" s="580">
        <v>1029506171.0000002</v>
      </c>
      <c r="Z141" s="580">
        <f t="shared" si="37"/>
        <v>1029506171</v>
      </c>
      <c r="AA141" s="580">
        <f t="shared" si="37"/>
        <v>1029506171</v>
      </c>
      <c r="AB141" s="580">
        <f t="shared" si="37"/>
        <v>1057966171</v>
      </c>
      <c r="AC141" s="580">
        <f t="shared" si="37"/>
        <v>1058003543</v>
      </c>
      <c r="AD141" s="580">
        <f t="shared" si="37"/>
        <v>1058003543.0000001</v>
      </c>
      <c r="AE141" s="580">
        <f t="shared" si="37"/>
        <v>1095833610</v>
      </c>
      <c r="AF141" s="663"/>
      <c r="AG141" s="829"/>
      <c r="AH141" s="823"/>
      <c r="AI141" s="823"/>
      <c r="AJ141" s="823"/>
      <c r="AK141" s="807"/>
      <c r="AL141" s="807"/>
      <c r="AM141" s="807"/>
      <c r="AN141" s="807"/>
      <c r="AO141" s="807"/>
      <c r="AP141" s="807"/>
      <c r="AQ141" s="807"/>
      <c r="AR141" s="807"/>
      <c r="AS141" s="807"/>
      <c r="AT141" s="807"/>
      <c r="AU141" s="807"/>
      <c r="AV141" s="807"/>
      <c r="AW141" s="807"/>
      <c r="AX141" s="807"/>
      <c r="AY141" s="584"/>
    </row>
    <row r="142" spans="1:51" ht="19.149999999999999" customHeight="1" x14ac:dyDescent="0.25">
      <c r="A142" s="827">
        <v>2</v>
      </c>
      <c r="B142" s="830" t="s">
        <v>355</v>
      </c>
      <c r="C142" s="821" t="s">
        <v>600</v>
      </c>
      <c r="D142" s="572" t="s">
        <v>345</v>
      </c>
      <c r="E142" s="590">
        <v>140</v>
      </c>
      <c r="F142" s="590">
        <v>140</v>
      </c>
      <c r="G142" s="590">
        <v>140</v>
      </c>
      <c r="H142" s="590">
        <v>140</v>
      </c>
      <c r="I142" s="591">
        <v>140</v>
      </c>
      <c r="J142" s="591">
        <v>140</v>
      </c>
      <c r="K142" s="591">
        <v>140</v>
      </c>
      <c r="L142" s="591">
        <v>140</v>
      </c>
      <c r="M142" s="591">
        <v>140</v>
      </c>
      <c r="N142" s="592">
        <v>140</v>
      </c>
      <c r="O142" s="590">
        <v>140</v>
      </c>
      <c r="P142" s="591">
        <v>140</v>
      </c>
      <c r="Q142" s="591">
        <v>140</v>
      </c>
      <c r="R142" s="591">
        <v>140</v>
      </c>
      <c r="S142" s="591"/>
      <c r="T142" s="593">
        <v>0</v>
      </c>
      <c r="U142" s="593">
        <v>13</v>
      </c>
      <c r="V142" s="593">
        <v>26</v>
      </c>
      <c r="W142" s="593">
        <v>39</v>
      </c>
      <c r="X142" s="593">
        <v>52</v>
      </c>
      <c r="Y142" s="593">
        <v>65</v>
      </c>
      <c r="Z142" s="593">
        <v>78</v>
      </c>
      <c r="AA142" s="593">
        <v>91</v>
      </c>
      <c r="AB142" s="594">
        <v>104</v>
      </c>
      <c r="AC142" s="595">
        <v>117</v>
      </c>
      <c r="AD142" s="593">
        <v>127</v>
      </c>
      <c r="AE142" s="591">
        <v>137</v>
      </c>
      <c r="AF142" s="842" t="s">
        <v>356</v>
      </c>
      <c r="AG142" s="827" t="s">
        <v>601</v>
      </c>
      <c r="AH142" s="824" t="s">
        <v>178</v>
      </c>
      <c r="AI142" s="824" t="s">
        <v>178</v>
      </c>
      <c r="AJ142" s="824" t="s">
        <v>178</v>
      </c>
      <c r="AK142" s="826" t="s">
        <v>490</v>
      </c>
      <c r="AL142" s="826" t="s">
        <v>178</v>
      </c>
      <c r="AM142" s="826" t="s">
        <v>491</v>
      </c>
      <c r="AN142" s="820">
        <v>7968095</v>
      </c>
      <c r="AO142" s="820">
        <v>3815676</v>
      </c>
      <c r="AP142" s="820">
        <v>4152419</v>
      </c>
      <c r="AQ142" s="833" t="s">
        <v>492</v>
      </c>
      <c r="AR142" s="833" t="s">
        <v>492</v>
      </c>
      <c r="AS142" s="833" t="s">
        <v>492</v>
      </c>
      <c r="AT142" s="833" t="s">
        <v>492</v>
      </c>
      <c r="AU142" s="833" t="s">
        <v>492</v>
      </c>
      <c r="AV142" s="833" t="s">
        <v>492</v>
      </c>
      <c r="AW142" s="833" t="s">
        <v>492</v>
      </c>
      <c r="AX142" s="820">
        <v>7936532</v>
      </c>
      <c r="AY142" s="584"/>
    </row>
    <row r="143" spans="1:51" ht="19.149999999999999" customHeight="1" x14ac:dyDescent="0.25">
      <c r="A143" s="828"/>
      <c r="B143" s="822"/>
      <c r="C143" s="822"/>
      <c r="D143" s="578" t="s">
        <v>349</v>
      </c>
      <c r="E143" s="590">
        <v>180497000</v>
      </c>
      <c r="F143" s="590">
        <v>180497000</v>
      </c>
      <c r="G143" s="590">
        <v>180497000</v>
      </c>
      <c r="H143" s="590">
        <v>180497000</v>
      </c>
      <c r="I143" s="591">
        <v>180497000</v>
      </c>
      <c r="J143" s="591">
        <v>180497000</v>
      </c>
      <c r="K143" s="575">
        <v>180497000</v>
      </c>
      <c r="L143" s="575">
        <v>180497000</v>
      </c>
      <c r="M143" s="591">
        <v>171679000</v>
      </c>
      <c r="N143" s="590">
        <v>171679000</v>
      </c>
      <c r="O143" s="592">
        <v>171679000</v>
      </c>
      <c r="P143" s="591">
        <v>171679000</v>
      </c>
      <c r="Q143" s="591">
        <v>171679000</v>
      </c>
      <c r="R143" s="591">
        <v>171679000</v>
      </c>
      <c r="S143" s="591"/>
      <c r="T143" s="593">
        <v>0</v>
      </c>
      <c r="U143" s="593">
        <v>44090000</v>
      </c>
      <c r="V143" s="593">
        <v>132270000</v>
      </c>
      <c r="W143" s="593">
        <v>132270000</v>
      </c>
      <c r="X143" s="574">
        <v>132270000</v>
      </c>
      <c r="Y143" s="593">
        <v>132270000</v>
      </c>
      <c r="Z143" s="593">
        <v>132270000</v>
      </c>
      <c r="AA143" s="593">
        <v>132270000</v>
      </c>
      <c r="AB143" s="593">
        <v>132270000</v>
      </c>
      <c r="AC143" s="591">
        <v>132270000</v>
      </c>
      <c r="AD143" s="593">
        <v>132270000</v>
      </c>
      <c r="AE143" s="591">
        <v>154679000</v>
      </c>
      <c r="AF143" s="838"/>
      <c r="AG143" s="828"/>
      <c r="AH143" s="822"/>
      <c r="AI143" s="822"/>
      <c r="AJ143" s="822"/>
      <c r="AK143" s="806"/>
      <c r="AL143" s="806"/>
      <c r="AM143" s="806"/>
      <c r="AN143" s="806"/>
      <c r="AO143" s="806"/>
      <c r="AP143" s="806"/>
      <c r="AQ143" s="806"/>
      <c r="AR143" s="806"/>
      <c r="AS143" s="806"/>
      <c r="AT143" s="806"/>
      <c r="AU143" s="806"/>
      <c r="AV143" s="806"/>
      <c r="AW143" s="806"/>
      <c r="AX143" s="806"/>
      <c r="AY143" s="584"/>
    </row>
    <row r="144" spans="1:51" ht="28.9" customHeight="1" x14ac:dyDescent="0.25">
      <c r="A144" s="828"/>
      <c r="B144" s="822"/>
      <c r="C144" s="822"/>
      <c r="D144" s="579" t="s">
        <v>351</v>
      </c>
      <c r="E144" s="590"/>
      <c r="F144" s="590"/>
      <c r="G144" s="590"/>
      <c r="H144" s="590"/>
      <c r="I144" s="591"/>
      <c r="J144" s="591"/>
      <c r="K144" s="580"/>
      <c r="L144" s="580"/>
      <c r="M144" s="591"/>
      <c r="N144" s="590"/>
      <c r="O144" s="590"/>
      <c r="P144" s="591"/>
      <c r="Q144" s="591"/>
      <c r="R144" s="591"/>
      <c r="S144" s="591"/>
      <c r="T144" s="593"/>
      <c r="U144" s="593">
        <v>0</v>
      </c>
      <c r="V144" s="593">
        <v>0</v>
      </c>
      <c r="W144" s="593">
        <v>0</v>
      </c>
      <c r="X144" s="593">
        <v>0</v>
      </c>
      <c r="Y144" s="580">
        <v>0</v>
      </c>
      <c r="Z144" s="593">
        <v>0</v>
      </c>
      <c r="AA144" s="593">
        <v>0</v>
      </c>
      <c r="AB144" s="593">
        <v>0</v>
      </c>
      <c r="AC144" s="591">
        <v>0</v>
      </c>
      <c r="AD144" s="591">
        <v>0</v>
      </c>
      <c r="AE144" s="591">
        <v>0</v>
      </c>
      <c r="AF144" s="838"/>
      <c r="AG144" s="828"/>
      <c r="AH144" s="822"/>
      <c r="AI144" s="822"/>
      <c r="AJ144" s="822"/>
      <c r="AK144" s="806"/>
      <c r="AL144" s="806"/>
      <c r="AM144" s="806"/>
      <c r="AN144" s="806"/>
      <c r="AO144" s="806"/>
      <c r="AP144" s="806"/>
      <c r="AQ144" s="806"/>
      <c r="AR144" s="806"/>
      <c r="AS144" s="806"/>
      <c r="AT144" s="806"/>
      <c r="AU144" s="806"/>
      <c r="AV144" s="806"/>
      <c r="AW144" s="806"/>
      <c r="AX144" s="806"/>
      <c r="AY144" s="584"/>
    </row>
    <row r="145" spans="1:51" ht="28.9" customHeight="1" x14ac:dyDescent="0.25">
      <c r="A145" s="828"/>
      <c r="B145" s="822"/>
      <c r="C145" s="822"/>
      <c r="D145" s="578" t="s">
        <v>352</v>
      </c>
      <c r="E145" s="590">
        <v>8377100</v>
      </c>
      <c r="F145" s="590">
        <v>8377100</v>
      </c>
      <c r="G145" s="590">
        <v>8377100</v>
      </c>
      <c r="H145" s="590">
        <v>8377100</v>
      </c>
      <c r="I145" s="591">
        <v>8377100</v>
      </c>
      <c r="J145" s="591">
        <v>8377100</v>
      </c>
      <c r="K145" s="580">
        <v>8377100</v>
      </c>
      <c r="L145" s="580">
        <v>8377100</v>
      </c>
      <c r="M145" s="580">
        <v>8377100</v>
      </c>
      <c r="N145" s="582">
        <v>8377100</v>
      </c>
      <c r="O145" s="582">
        <v>8377100</v>
      </c>
      <c r="P145" s="580">
        <v>8377100</v>
      </c>
      <c r="Q145" s="580">
        <v>8377100</v>
      </c>
      <c r="R145" s="580">
        <v>8377100</v>
      </c>
      <c r="S145" s="580"/>
      <c r="T145" s="593">
        <v>8377100</v>
      </c>
      <c r="U145" s="593">
        <v>8377100</v>
      </c>
      <c r="V145" s="593">
        <v>8377100</v>
      </c>
      <c r="W145" s="593">
        <v>8377100</v>
      </c>
      <c r="X145" s="593">
        <v>8377100</v>
      </c>
      <c r="Y145" s="580">
        <v>8377100</v>
      </c>
      <c r="Z145" s="593">
        <v>8377100</v>
      </c>
      <c r="AA145" s="593">
        <v>8377100</v>
      </c>
      <c r="AB145" s="593">
        <v>8377100</v>
      </c>
      <c r="AC145" s="580">
        <v>8377100</v>
      </c>
      <c r="AD145" s="580">
        <v>8377100</v>
      </c>
      <c r="AE145" s="580">
        <v>8377100</v>
      </c>
      <c r="AF145" s="838"/>
      <c r="AG145" s="828"/>
      <c r="AH145" s="822"/>
      <c r="AI145" s="822"/>
      <c r="AJ145" s="822"/>
      <c r="AK145" s="806"/>
      <c r="AL145" s="806"/>
      <c r="AM145" s="806"/>
      <c r="AN145" s="806"/>
      <c r="AO145" s="806"/>
      <c r="AP145" s="806"/>
      <c r="AQ145" s="806"/>
      <c r="AR145" s="806"/>
      <c r="AS145" s="806"/>
      <c r="AT145" s="806"/>
      <c r="AU145" s="806"/>
      <c r="AV145" s="806"/>
      <c r="AW145" s="806"/>
      <c r="AX145" s="806"/>
      <c r="AY145" s="584"/>
    </row>
    <row r="146" spans="1:51" ht="28.9" customHeight="1" x14ac:dyDescent="0.25">
      <c r="A146" s="828"/>
      <c r="B146" s="822"/>
      <c r="C146" s="822"/>
      <c r="D146" s="579" t="s">
        <v>353</v>
      </c>
      <c r="E146" s="573">
        <v>140</v>
      </c>
      <c r="F146" s="573">
        <v>140</v>
      </c>
      <c r="G146" s="590">
        <v>140</v>
      </c>
      <c r="H146" s="590">
        <v>140</v>
      </c>
      <c r="I146" s="591">
        <v>140</v>
      </c>
      <c r="J146" s="591">
        <v>140</v>
      </c>
      <c r="K146" s="580">
        <v>140</v>
      </c>
      <c r="L146" s="580">
        <v>140</v>
      </c>
      <c r="M146" s="580">
        <v>140</v>
      </c>
      <c r="N146" s="582">
        <v>140</v>
      </c>
      <c r="O146" s="582">
        <v>140</v>
      </c>
      <c r="P146" s="580">
        <v>140</v>
      </c>
      <c r="Q146" s="580">
        <v>140</v>
      </c>
      <c r="R146" s="580">
        <v>141</v>
      </c>
      <c r="S146" s="580"/>
      <c r="T146" s="593">
        <v>0</v>
      </c>
      <c r="U146" s="593">
        <v>0</v>
      </c>
      <c r="V146" s="593">
        <v>0</v>
      </c>
      <c r="W146" s="593">
        <v>0</v>
      </c>
      <c r="X146" s="593">
        <v>0</v>
      </c>
      <c r="Y146" s="580">
        <v>0</v>
      </c>
      <c r="Z146" s="593">
        <v>0</v>
      </c>
      <c r="AA146" s="593">
        <v>91</v>
      </c>
      <c r="AB146" s="593">
        <v>104</v>
      </c>
      <c r="AC146" s="580">
        <v>117</v>
      </c>
      <c r="AD146" s="580">
        <v>127</v>
      </c>
      <c r="AE146" s="580">
        <v>137</v>
      </c>
      <c r="AF146" s="838"/>
      <c r="AG146" s="828"/>
      <c r="AH146" s="822"/>
      <c r="AI146" s="822"/>
      <c r="AJ146" s="822"/>
      <c r="AK146" s="806"/>
      <c r="AL146" s="806"/>
      <c r="AM146" s="806"/>
      <c r="AN146" s="806"/>
      <c r="AO146" s="806"/>
      <c r="AP146" s="806"/>
      <c r="AQ146" s="806"/>
      <c r="AR146" s="806"/>
      <c r="AS146" s="806"/>
      <c r="AT146" s="806"/>
      <c r="AU146" s="806"/>
      <c r="AV146" s="806"/>
      <c r="AW146" s="806"/>
      <c r="AX146" s="806"/>
      <c r="AY146" s="584"/>
    </row>
    <row r="147" spans="1:51" ht="28.9" customHeight="1" x14ac:dyDescent="0.25">
      <c r="A147" s="828"/>
      <c r="B147" s="822"/>
      <c r="C147" s="823"/>
      <c r="D147" s="578" t="s">
        <v>354</v>
      </c>
      <c r="E147" s="573">
        <v>188874100</v>
      </c>
      <c r="F147" s="573">
        <v>188874100</v>
      </c>
      <c r="G147" s="573">
        <v>188874100</v>
      </c>
      <c r="H147" s="590">
        <v>188874100</v>
      </c>
      <c r="I147" s="591">
        <v>188874100</v>
      </c>
      <c r="J147" s="591">
        <v>188874100</v>
      </c>
      <c r="K147" s="596">
        <v>188874100</v>
      </c>
      <c r="L147" s="596">
        <v>188874100</v>
      </c>
      <c r="M147" s="596">
        <f t="shared" ref="M147:R147" si="41">+M143+M145</f>
        <v>180056100</v>
      </c>
      <c r="N147" s="597">
        <f t="shared" si="41"/>
        <v>180056100</v>
      </c>
      <c r="O147" s="597">
        <f t="shared" si="41"/>
        <v>180056100</v>
      </c>
      <c r="P147" s="596">
        <f t="shared" si="41"/>
        <v>180056100</v>
      </c>
      <c r="Q147" s="596">
        <f t="shared" si="41"/>
        <v>180056100</v>
      </c>
      <c r="R147" s="596">
        <f t="shared" si="41"/>
        <v>180056100</v>
      </c>
      <c r="S147" s="596"/>
      <c r="T147" s="574">
        <v>8377100</v>
      </c>
      <c r="U147" s="593">
        <v>52467100</v>
      </c>
      <c r="V147" s="593">
        <v>140647100</v>
      </c>
      <c r="W147" s="593">
        <v>140647100</v>
      </c>
      <c r="X147" s="593">
        <v>140647100</v>
      </c>
      <c r="Y147" s="580">
        <v>140647100</v>
      </c>
      <c r="Z147" s="596">
        <f t="shared" ref="Z147:AE147" si="42">+Z143+Z145</f>
        <v>140647100</v>
      </c>
      <c r="AA147" s="596">
        <f t="shared" si="42"/>
        <v>140647100</v>
      </c>
      <c r="AB147" s="596">
        <f t="shared" si="42"/>
        <v>140647100</v>
      </c>
      <c r="AC147" s="596">
        <f t="shared" si="42"/>
        <v>140647100</v>
      </c>
      <c r="AD147" s="596">
        <f t="shared" si="42"/>
        <v>140647100</v>
      </c>
      <c r="AE147" s="596">
        <f t="shared" si="42"/>
        <v>163056100</v>
      </c>
      <c r="AF147" s="838"/>
      <c r="AG147" s="829"/>
      <c r="AH147" s="823"/>
      <c r="AI147" s="823"/>
      <c r="AJ147" s="823"/>
      <c r="AK147" s="807"/>
      <c r="AL147" s="807"/>
      <c r="AM147" s="807"/>
      <c r="AN147" s="807"/>
      <c r="AO147" s="807"/>
      <c r="AP147" s="807"/>
      <c r="AQ147" s="807"/>
      <c r="AR147" s="807"/>
      <c r="AS147" s="807"/>
      <c r="AT147" s="807"/>
      <c r="AU147" s="807"/>
      <c r="AV147" s="807"/>
      <c r="AW147" s="807"/>
      <c r="AX147" s="807"/>
      <c r="AY147" s="584"/>
    </row>
    <row r="148" spans="1:51" ht="22.9" customHeight="1" x14ac:dyDescent="0.25">
      <c r="A148" s="828"/>
      <c r="B148" s="822"/>
      <c r="C148" s="821" t="s">
        <v>494</v>
      </c>
      <c r="D148" s="572" t="s">
        <v>345</v>
      </c>
      <c r="E148" s="582"/>
      <c r="F148" s="582"/>
      <c r="G148" s="582"/>
      <c r="H148" s="582">
        <v>2</v>
      </c>
      <c r="I148" s="580">
        <v>3</v>
      </c>
      <c r="J148" s="580">
        <v>6</v>
      </c>
      <c r="K148" s="598">
        <v>9</v>
      </c>
      <c r="L148" s="580">
        <v>9</v>
      </c>
      <c r="M148" s="580">
        <v>9</v>
      </c>
      <c r="N148" s="586">
        <v>11</v>
      </c>
      <c r="O148" s="582">
        <v>11</v>
      </c>
      <c r="P148" s="580">
        <v>13</v>
      </c>
      <c r="Q148" s="591">
        <v>14</v>
      </c>
      <c r="R148" s="591">
        <v>14</v>
      </c>
      <c r="S148" s="591"/>
      <c r="T148" s="581"/>
      <c r="U148" s="580">
        <v>2</v>
      </c>
      <c r="V148" s="580">
        <v>3</v>
      </c>
      <c r="W148" s="580">
        <v>6</v>
      </c>
      <c r="X148" s="580">
        <v>9</v>
      </c>
      <c r="Y148" s="580">
        <v>9</v>
      </c>
      <c r="Z148" s="580">
        <f t="shared" ref="Z148:AE163" si="43">+M148</f>
        <v>9</v>
      </c>
      <c r="AA148" s="581">
        <f t="shared" si="43"/>
        <v>11</v>
      </c>
      <c r="AB148" s="580">
        <f t="shared" si="43"/>
        <v>11</v>
      </c>
      <c r="AC148" s="580">
        <f t="shared" si="43"/>
        <v>13</v>
      </c>
      <c r="AD148" s="580">
        <f t="shared" si="43"/>
        <v>14</v>
      </c>
      <c r="AE148" s="591">
        <f t="shared" si="43"/>
        <v>14</v>
      </c>
      <c r="AF148" s="896" t="s">
        <v>602</v>
      </c>
      <c r="AG148" s="827" t="s">
        <v>496</v>
      </c>
      <c r="AH148" s="824" t="s">
        <v>603</v>
      </c>
      <c r="AI148" s="824" t="s">
        <v>604</v>
      </c>
      <c r="AJ148" s="656" t="s">
        <v>499</v>
      </c>
      <c r="AK148" s="826" t="s">
        <v>490</v>
      </c>
      <c r="AL148" s="826" t="s">
        <v>605</v>
      </c>
      <c r="AM148" s="826" t="s">
        <v>491</v>
      </c>
      <c r="AN148" s="861">
        <v>586954</v>
      </c>
      <c r="AO148" s="861">
        <v>269584</v>
      </c>
      <c r="AP148" s="861">
        <v>317370</v>
      </c>
      <c r="AQ148" s="897" t="s">
        <v>492</v>
      </c>
      <c r="AR148" s="897" t="s">
        <v>492</v>
      </c>
      <c r="AS148" s="897" t="s">
        <v>492</v>
      </c>
      <c r="AT148" s="897" t="s">
        <v>492</v>
      </c>
      <c r="AU148" s="898" t="s">
        <v>492</v>
      </c>
      <c r="AV148" s="898" t="s">
        <v>492</v>
      </c>
      <c r="AW148" s="898" t="s">
        <v>492</v>
      </c>
      <c r="AX148" s="861">
        <v>586346</v>
      </c>
      <c r="AY148" s="584"/>
    </row>
    <row r="149" spans="1:51" ht="34.15" customHeight="1" x14ac:dyDescent="0.25">
      <c r="A149" s="828"/>
      <c r="B149" s="822"/>
      <c r="C149" s="822"/>
      <c r="D149" s="578" t="s">
        <v>349</v>
      </c>
      <c r="E149" s="582"/>
      <c r="F149" s="582"/>
      <c r="G149" s="582"/>
      <c r="H149" s="582">
        <v>6783076.923076923</v>
      </c>
      <c r="I149" s="580">
        <v>15261923.076923076</v>
      </c>
      <c r="J149" s="580">
        <v>20349230.769230768</v>
      </c>
      <c r="K149" s="580">
        <v>22892884.615384616</v>
      </c>
      <c r="L149" s="580">
        <v>18314307.692307692</v>
      </c>
      <c r="M149" s="580">
        <f>+M148*$Z$143/$Z$142</f>
        <v>15261923.076923076</v>
      </c>
      <c r="N149" s="582">
        <f>+N148*$AA$143/$AA$142</f>
        <v>15988681.318681318</v>
      </c>
      <c r="O149" s="582">
        <f>+O148*$AB$143/$AB$142</f>
        <v>13990096.153846154</v>
      </c>
      <c r="P149" s="580">
        <f>+P148*$AC$143/$AC$142</f>
        <v>14696666.666666666</v>
      </c>
      <c r="Q149" s="580">
        <f>+Q148*$AD$143/$AD$142</f>
        <v>14580944.881889764</v>
      </c>
      <c r="R149" s="580">
        <f>+R148*$AE$143/$AE$142</f>
        <v>15806613.138686132</v>
      </c>
      <c r="S149" s="580"/>
      <c r="T149" s="581"/>
      <c r="U149" s="580">
        <v>6783076.923076923</v>
      </c>
      <c r="V149" s="580">
        <v>15261923.076923076</v>
      </c>
      <c r="W149" s="580">
        <v>20349230.769230768</v>
      </c>
      <c r="X149" s="580">
        <v>22892884.615384616</v>
      </c>
      <c r="Y149" s="580">
        <v>18314307.692307692</v>
      </c>
      <c r="Z149" s="580">
        <f t="shared" si="43"/>
        <v>15261923.076923076</v>
      </c>
      <c r="AA149" s="580">
        <f t="shared" si="43"/>
        <v>15988681.318681318</v>
      </c>
      <c r="AB149" s="580">
        <f t="shared" si="43"/>
        <v>13990096.153846154</v>
      </c>
      <c r="AC149" s="580">
        <f t="shared" si="43"/>
        <v>14696666.666666666</v>
      </c>
      <c r="AD149" s="580">
        <f t="shared" si="43"/>
        <v>14580944.881889764</v>
      </c>
      <c r="AE149" s="580">
        <f t="shared" si="43"/>
        <v>15806613.138686132</v>
      </c>
      <c r="AF149" s="838"/>
      <c r="AG149" s="828"/>
      <c r="AH149" s="822"/>
      <c r="AI149" s="822"/>
      <c r="AJ149" s="657" t="s">
        <v>501</v>
      </c>
      <c r="AK149" s="806"/>
      <c r="AL149" s="806"/>
      <c r="AM149" s="806"/>
      <c r="AN149" s="806"/>
      <c r="AO149" s="806"/>
      <c r="AP149" s="806"/>
      <c r="AQ149" s="806"/>
      <c r="AR149" s="806"/>
      <c r="AS149" s="806"/>
      <c r="AT149" s="806"/>
      <c r="AU149" s="806"/>
      <c r="AV149" s="806"/>
      <c r="AW149" s="806"/>
      <c r="AX149" s="806"/>
      <c r="AY149" s="584"/>
    </row>
    <row r="150" spans="1:51" ht="28.9" customHeight="1" x14ac:dyDescent="0.25">
      <c r="A150" s="828"/>
      <c r="B150" s="822"/>
      <c r="C150" s="822"/>
      <c r="D150" s="579" t="s">
        <v>351</v>
      </c>
      <c r="E150" s="582"/>
      <c r="F150" s="582"/>
      <c r="G150" s="582"/>
      <c r="H150" s="582"/>
      <c r="I150" s="580"/>
      <c r="J150" s="580"/>
      <c r="K150" s="598"/>
      <c r="L150" s="580"/>
      <c r="M150" s="580"/>
      <c r="N150" s="586"/>
      <c r="O150" s="582"/>
      <c r="P150" s="580"/>
      <c r="Q150" s="591"/>
      <c r="R150" s="591"/>
      <c r="S150" s="591"/>
      <c r="T150" s="581"/>
      <c r="U150" s="580">
        <v>0</v>
      </c>
      <c r="V150" s="580">
        <v>0</v>
      </c>
      <c r="W150" s="580">
        <v>0</v>
      </c>
      <c r="X150" s="580">
        <v>0</v>
      </c>
      <c r="Y150" s="580">
        <v>0</v>
      </c>
      <c r="Z150" s="580">
        <f t="shared" si="43"/>
        <v>0</v>
      </c>
      <c r="AA150" s="581">
        <f t="shared" si="43"/>
        <v>0</v>
      </c>
      <c r="AB150" s="580">
        <f t="shared" si="43"/>
        <v>0</v>
      </c>
      <c r="AC150" s="580">
        <f t="shared" si="43"/>
        <v>0</v>
      </c>
      <c r="AD150" s="580">
        <f t="shared" si="43"/>
        <v>0</v>
      </c>
      <c r="AE150" s="591">
        <f t="shared" si="43"/>
        <v>0</v>
      </c>
      <c r="AF150" s="838"/>
      <c r="AG150" s="828"/>
      <c r="AH150" s="822"/>
      <c r="AI150" s="822"/>
      <c r="AJ150" s="657" t="s">
        <v>606</v>
      </c>
      <c r="AK150" s="806"/>
      <c r="AL150" s="806"/>
      <c r="AM150" s="806"/>
      <c r="AN150" s="806"/>
      <c r="AO150" s="806"/>
      <c r="AP150" s="806"/>
      <c r="AQ150" s="806"/>
      <c r="AR150" s="806"/>
      <c r="AS150" s="806"/>
      <c r="AT150" s="806"/>
      <c r="AU150" s="806"/>
      <c r="AV150" s="806"/>
      <c r="AW150" s="806"/>
      <c r="AX150" s="806"/>
      <c r="AY150" s="584"/>
    </row>
    <row r="151" spans="1:51" ht="45.6" customHeight="1" x14ac:dyDescent="0.25">
      <c r="A151" s="828"/>
      <c r="B151" s="822"/>
      <c r="C151" s="822"/>
      <c r="D151" s="578" t="s">
        <v>352</v>
      </c>
      <c r="E151" s="582"/>
      <c r="F151" s="582"/>
      <c r="G151" s="582"/>
      <c r="H151" s="582">
        <v>930788.88888888888</v>
      </c>
      <c r="I151" s="580">
        <v>930788.88888888888</v>
      </c>
      <c r="J151" s="580">
        <v>930788.88888888888</v>
      </c>
      <c r="K151" s="580">
        <v>930788.88888888888</v>
      </c>
      <c r="L151" s="580">
        <v>930788.88888888888</v>
      </c>
      <c r="M151" s="580">
        <v>930788.88888888888</v>
      </c>
      <c r="N151" s="582">
        <v>930788.88888888888</v>
      </c>
      <c r="O151" s="582">
        <v>930788.88888888888</v>
      </c>
      <c r="P151" s="580">
        <v>930788.88888888888</v>
      </c>
      <c r="Q151" s="580">
        <v>930788.88888888888</v>
      </c>
      <c r="R151" s="580">
        <v>930788.88888888888</v>
      </c>
      <c r="S151" s="580"/>
      <c r="T151" s="581"/>
      <c r="U151" s="580">
        <v>930788.88888888888</v>
      </c>
      <c r="V151" s="580">
        <v>930788.88888888888</v>
      </c>
      <c r="W151" s="580">
        <v>930788.88888888888</v>
      </c>
      <c r="X151" s="580">
        <v>930788.88888888888</v>
      </c>
      <c r="Y151" s="580">
        <v>930788.88888888888</v>
      </c>
      <c r="Z151" s="580">
        <f t="shared" si="43"/>
        <v>930788.88888888888</v>
      </c>
      <c r="AA151" s="580">
        <f t="shared" si="43"/>
        <v>930788.88888888888</v>
      </c>
      <c r="AB151" s="580">
        <f t="shared" si="43"/>
        <v>930788.88888888888</v>
      </c>
      <c r="AC151" s="580">
        <f t="shared" si="43"/>
        <v>930788.88888888888</v>
      </c>
      <c r="AD151" s="580">
        <f t="shared" si="43"/>
        <v>930788.88888888888</v>
      </c>
      <c r="AE151" s="580">
        <f t="shared" si="43"/>
        <v>930788.88888888888</v>
      </c>
      <c r="AF151" s="838"/>
      <c r="AG151" s="828"/>
      <c r="AH151" s="822"/>
      <c r="AI151" s="822"/>
      <c r="AJ151" s="657" t="s">
        <v>503</v>
      </c>
      <c r="AK151" s="806"/>
      <c r="AL151" s="806"/>
      <c r="AM151" s="806"/>
      <c r="AN151" s="806"/>
      <c r="AO151" s="806"/>
      <c r="AP151" s="806"/>
      <c r="AQ151" s="806"/>
      <c r="AR151" s="806"/>
      <c r="AS151" s="806"/>
      <c r="AT151" s="806"/>
      <c r="AU151" s="806"/>
      <c r="AV151" s="806"/>
      <c r="AW151" s="806"/>
      <c r="AX151" s="806"/>
      <c r="AY151" s="584"/>
    </row>
    <row r="152" spans="1:51" ht="72" customHeight="1" x14ac:dyDescent="0.25">
      <c r="A152" s="828"/>
      <c r="B152" s="822"/>
      <c r="C152" s="822"/>
      <c r="D152" s="579" t="s">
        <v>353</v>
      </c>
      <c r="E152" s="582"/>
      <c r="F152" s="582"/>
      <c r="G152" s="582"/>
      <c r="H152" s="582">
        <v>2</v>
      </c>
      <c r="I152" s="580">
        <v>3</v>
      </c>
      <c r="J152" s="580">
        <v>6</v>
      </c>
      <c r="K152" s="598">
        <v>9</v>
      </c>
      <c r="L152" s="580">
        <v>9</v>
      </c>
      <c r="M152" s="580">
        <v>9</v>
      </c>
      <c r="N152" s="586">
        <v>11</v>
      </c>
      <c r="O152" s="586">
        <v>11</v>
      </c>
      <c r="P152" s="580">
        <v>13</v>
      </c>
      <c r="Q152" s="580">
        <v>14</v>
      </c>
      <c r="R152" s="580">
        <v>14</v>
      </c>
      <c r="S152" s="580"/>
      <c r="T152" s="581"/>
      <c r="U152" s="580">
        <v>2</v>
      </c>
      <c r="V152" s="580">
        <v>3</v>
      </c>
      <c r="W152" s="580">
        <v>6</v>
      </c>
      <c r="X152" s="580">
        <v>9</v>
      </c>
      <c r="Y152" s="580">
        <v>9</v>
      </c>
      <c r="Z152" s="580">
        <f t="shared" si="43"/>
        <v>9</v>
      </c>
      <c r="AA152" s="581">
        <f t="shared" si="43"/>
        <v>11</v>
      </c>
      <c r="AB152" s="580">
        <f t="shared" si="43"/>
        <v>11</v>
      </c>
      <c r="AC152" s="580">
        <f t="shared" si="43"/>
        <v>13</v>
      </c>
      <c r="AD152" s="580">
        <f t="shared" si="43"/>
        <v>14</v>
      </c>
      <c r="AE152" s="580">
        <f t="shared" si="43"/>
        <v>14</v>
      </c>
      <c r="AF152" s="838"/>
      <c r="AG152" s="828"/>
      <c r="AH152" s="822"/>
      <c r="AI152" s="822"/>
      <c r="AJ152" s="658" t="s">
        <v>504</v>
      </c>
      <c r="AK152" s="806"/>
      <c r="AL152" s="806"/>
      <c r="AM152" s="806"/>
      <c r="AN152" s="806"/>
      <c r="AO152" s="806"/>
      <c r="AP152" s="806"/>
      <c r="AQ152" s="806"/>
      <c r="AR152" s="806"/>
      <c r="AS152" s="806"/>
      <c r="AT152" s="806"/>
      <c r="AU152" s="806"/>
      <c r="AV152" s="806"/>
      <c r="AW152" s="806"/>
      <c r="AX152" s="806"/>
      <c r="AY152" s="584"/>
    </row>
    <row r="153" spans="1:51" ht="28.9" customHeight="1" x14ac:dyDescent="0.25">
      <c r="A153" s="828"/>
      <c r="B153" s="822"/>
      <c r="C153" s="823"/>
      <c r="D153" s="578" t="s">
        <v>354</v>
      </c>
      <c r="E153" s="582"/>
      <c r="F153" s="582"/>
      <c r="G153" s="582"/>
      <c r="H153" s="582">
        <v>7713865.811965812</v>
      </c>
      <c r="I153" s="580">
        <v>16192711.965811964</v>
      </c>
      <c r="J153" s="580">
        <v>21280019.658119656</v>
      </c>
      <c r="K153" s="580">
        <v>23823673.504273504</v>
      </c>
      <c r="L153" s="580">
        <v>19245096.58119658</v>
      </c>
      <c r="M153" s="580">
        <f t="shared" ref="M153:R153" si="44">+M149+M151</f>
        <v>16192711.965811964</v>
      </c>
      <c r="N153" s="582">
        <f t="shared" si="44"/>
        <v>16919470.207570206</v>
      </c>
      <c r="O153" s="582">
        <f t="shared" si="44"/>
        <v>14920885.042735042</v>
      </c>
      <c r="P153" s="580">
        <f t="shared" si="44"/>
        <v>15627455.555555554</v>
      </c>
      <c r="Q153" s="580">
        <f t="shared" si="44"/>
        <v>15511733.770778652</v>
      </c>
      <c r="R153" s="580">
        <f t="shared" si="44"/>
        <v>16737402.02757502</v>
      </c>
      <c r="S153" s="580"/>
      <c r="T153" s="581"/>
      <c r="U153" s="580">
        <v>7713865.811965812</v>
      </c>
      <c r="V153" s="580">
        <v>16192711.965811964</v>
      </c>
      <c r="W153" s="580">
        <v>21280019.658119656</v>
      </c>
      <c r="X153" s="580">
        <v>23823673.504273504</v>
      </c>
      <c r="Y153" s="580">
        <v>19245096.58119658</v>
      </c>
      <c r="Z153" s="580">
        <f t="shared" si="43"/>
        <v>16192711.965811964</v>
      </c>
      <c r="AA153" s="580">
        <f t="shared" si="43"/>
        <v>16919470.207570206</v>
      </c>
      <c r="AB153" s="580">
        <f t="shared" si="43"/>
        <v>14920885.042735042</v>
      </c>
      <c r="AC153" s="580">
        <f t="shared" si="43"/>
        <v>15627455.555555554</v>
      </c>
      <c r="AD153" s="580">
        <f t="shared" si="43"/>
        <v>15511733.770778652</v>
      </c>
      <c r="AE153" s="580">
        <f t="shared" si="43"/>
        <v>16737402.02757502</v>
      </c>
      <c r="AF153" s="839"/>
      <c r="AG153" s="829"/>
      <c r="AH153" s="823"/>
      <c r="AI153" s="823"/>
      <c r="AJ153" s="659" t="s">
        <v>505</v>
      </c>
      <c r="AK153" s="807"/>
      <c r="AL153" s="807"/>
      <c r="AM153" s="807"/>
      <c r="AN153" s="807"/>
      <c r="AO153" s="807"/>
      <c r="AP153" s="807"/>
      <c r="AQ153" s="807"/>
      <c r="AR153" s="807"/>
      <c r="AS153" s="807"/>
      <c r="AT153" s="807"/>
      <c r="AU153" s="807"/>
      <c r="AV153" s="807"/>
      <c r="AW153" s="807"/>
      <c r="AX153" s="807"/>
      <c r="AY153" s="584"/>
    </row>
    <row r="154" spans="1:51" ht="19.149999999999999" customHeight="1" x14ac:dyDescent="0.25">
      <c r="A154" s="828"/>
      <c r="B154" s="822"/>
      <c r="C154" s="821" t="s">
        <v>511</v>
      </c>
      <c r="D154" s="572" t="s">
        <v>345</v>
      </c>
      <c r="E154" s="582"/>
      <c r="F154" s="582"/>
      <c r="G154" s="582"/>
      <c r="H154" s="582">
        <v>2</v>
      </c>
      <c r="I154" s="580">
        <v>5</v>
      </c>
      <c r="J154" s="580">
        <v>7</v>
      </c>
      <c r="K154" s="598">
        <v>7</v>
      </c>
      <c r="L154" s="580">
        <v>8</v>
      </c>
      <c r="M154" s="580">
        <v>8</v>
      </c>
      <c r="N154" s="586">
        <v>9</v>
      </c>
      <c r="O154" s="582">
        <v>10</v>
      </c>
      <c r="P154" s="580">
        <v>10</v>
      </c>
      <c r="Q154" s="591">
        <v>11</v>
      </c>
      <c r="R154" s="591">
        <v>11</v>
      </c>
      <c r="S154" s="591"/>
      <c r="T154" s="581"/>
      <c r="U154" s="580">
        <v>2</v>
      </c>
      <c r="V154" s="580">
        <v>5</v>
      </c>
      <c r="W154" s="580">
        <v>7</v>
      </c>
      <c r="X154" s="580">
        <v>7</v>
      </c>
      <c r="Y154" s="580">
        <v>8</v>
      </c>
      <c r="Z154" s="580">
        <f t="shared" si="43"/>
        <v>8</v>
      </c>
      <c r="AA154" s="581">
        <f t="shared" si="43"/>
        <v>9</v>
      </c>
      <c r="AB154" s="580">
        <f t="shared" si="43"/>
        <v>10</v>
      </c>
      <c r="AC154" s="580">
        <f t="shared" si="43"/>
        <v>10</v>
      </c>
      <c r="AD154" s="580">
        <f t="shared" si="43"/>
        <v>11</v>
      </c>
      <c r="AE154" s="591">
        <f t="shared" si="43"/>
        <v>11</v>
      </c>
      <c r="AF154" s="894" t="s">
        <v>607</v>
      </c>
      <c r="AG154" s="827" t="s">
        <v>511</v>
      </c>
      <c r="AH154" s="824" t="s">
        <v>608</v>
      </c>
      <c r="AI154" s="824" t="s">
        <v>609</v>
      </c>
      <c r="AJ154" s="821" t="s">
        <v>610</v>
      </c>
      <c r="AK154" s="826" t="s">
        <v>490</v>
      </c>
      <c r="AL154" s="826" t="s">
        <v>178</v>
      </c>
      <c r="AM154" s="826" t="s">
        <v>491</v>
      </c>
      <c r="AN154" s="861">
        <v>179406</v>
      </c>
      <c r="AO154" s="820">
        <v>86201</v>
      </c>
      <c r="AP154" s="820">
        <v>93205</v>
      </c>
      <c r="AQ154" s="840" t="s">
        <v>492</v>
      </c>
      <c r="AR154" s="840" t="s">
        <v>492</v>
      </c>
      <c r="AS154" s="840" t="s">
        <v>492</v>
      </c>
      <c r="AT154" s="840" t="s">
        <v>492</v>
      </c>
      <c r="AU154" s="833" t="s">
        <v>492</v>
      </c>
      <c r="AV154" s="833" t="s">
        <v>492</v>
      </c>
      <c r="AW154" s="833" t="s">
        <v>492</v>
      </c>
      <c r="AX154" s="861">
        <v>178317</v>
      </c>
      <c r="AY154" s="584"/>
    </row>
    <row r="155" spans="1:51" ht="19.149999999999999" customHeight="1" x14ac:dyDescent="0.25">
      <c r="A155" s="828"/>
      <c r="B155" s="822"/>
      <c r="C155" s="822"/>
      <c r="D155" s="578" t="s">
        <v>349</v>
      </c>
      <c r="E155" s="582"/>
      <c r="F155" s="582"/>
      <c r="G155" s="582"/>
      <c r="H155" s="582">
        <v>6783076.923076923</v>
      </c>
      <c r="I155" s="580">
        <v>25436538.46153846</v>
      </c>
      <c r="J155" s="580">
        <v>23740769.230769232</v>
      </c>
      <c r="K155" s="580">
        <v>17805576.923076924</v>
      </c>
      <c r="L155" s="580">
        <v>16279384.615384616</v>
      </c>
      <c r="M155" s="580">
        <f>+M154*$Z$143/$Z$142</f>
        <v>13566153.846153846</v>
      </c>
      <c r="N155" s="582">
        <f>+N154*$AA$143/$AA$142</f>
        <v>13081648.351648351</v>
      </c>
      <c r="O155" s="582">
        <f>+O154*$AB$143/$AB$142</f>
        <v>12718269.23076923</v>
      </c>
      <c r="P155" s="580">
        <f>+P154*$AC$143/$AC$142</f>
        <v>11305128.205128206</v>
      </c>
      <c r="Q155" s="580">
        <f>+Q154*$AD$143/$AD$142</f>
        <v>11456456.692913385</v>
      </c>
      <c r="R155" s="580">
        <f>+R154*$AE$143/$AE$142</f>
        <v>12419481.751824817</v>
      </c>
      <c r="S155" s="580"/>
      <c r="T155" s="581"/>
      <c r="U155" s="580">
        <v>6783076.923076923</v>
      </c>
      <c r="V155" s="580">
        <v>25436538.46153846</v>
      </c>
      <c r="W155" s="580">
        <v>23740769.230769232</v>
      </c>
      <c r="X155" s="580">
        <v>17805576.923076924</v>
      </c>
      <c r="Y155" s="580">
        <v>16279384.615384616</v>
      </c>
      <c r="Z155" s="580">
        <f t="shared" si="43"/>
        <v>13566153.846153846</v>
      </c>
      <c r="AA155" s="580">
        <f t="shared" si="43"/>
        <v>13081648.351648351</v>
      </c>
      <c r="AB155" s="580">
        <f t="shared" si="43"/>
        <v>12718269.23076923</v>
      </c>
      <c r="AC155" s="580">
        <f t="shared" si="43"/>
        <v>11305128.205128206</v>
      </c>
      <c r="AD155" s="580">
        <f t="shared" si="43"/>
        <v>11456456.692913385</v>
      </c>
      <c r="AE155" s="580">
        <f t="shared" si="43"/>
        <v>12419481.751824817</v>
      </c>
      <c r="AF155" s="822"/>
      <c r="AG155" s="828"/>
      <c r="AH155" s="822"/>
      <c r="AI155" s="822"/>
      <c r="AJ155" s="822"/>
      <c r="AK155" s="806"/>
      <c r="AL155" s="806"/>
      <c r="AM155" s="806"/>
      <c r="AN155" s="806"/>
      <c r="AO155" s="806"/>
      <c r="AP155" s="806"/>
      <c r="AQ155" s="806"/>
      <c r="AR155" s="806"/>
      <c r="AS155" s="806"/>
      <c r="AT155" s="806"/>
      <c r="AU155" s="806"/>
      <c r="AV155" s="806"/>
      <c r="AW155" s="806"/>
      <c r="AX155" s="806"/>
      <c r="AY155" s="584"/>
    </row>
    <row r="156" spans="1:51" ht="28.9" customHeight="1" x14ac:dyDescent="0.25">
      <c r="A156" s="828"/>
      <c r="B156" s="822"/>
      <c r="C156" s="822"/>
      <c r="D156" s="579" t="s">
        <v>351</v>
      </c>
      <c r="E156" s="582"/>
      <c r="F156" s="582"/>
      <c r="G156" s="582"/>
      <c r="H156" s="582"/>
      <c r="I156" s="580"/>
      <c r="J156" s="580"/>
      <c r="K156" s="598"/>
      <c r="L156" s="580"/>
      <c r="M156" s="580"/>
      <c r="N156" s="586"/>
      <c r="O156" s="582"/>
      <c r="P156" s="580"/>
      <c r="Q156" s="591"/>
      <c r="R156" s="591"/>
      <c r="S156" s="591"/>
      <c r="T156" s="581"/>
      <c r="U156" s="580">
        <v>0</v>
      </c>
      <c r="V156" s="580">
        <v>0</v>
      </c>
      <c r="W156" s="580">
        <v>0</v>
      </c>
      <c r="X156" s="580">
        <v>0</v>
      </c>
      <c r="Y156" s="580">
        <v>0</v>
      </c>
      <c r="Z156" s="580">
        <f t="shared" si="43"/>
        <v>0</v>
      </c>
      <c r="AA156" s="581">
        <f t="shared" si="43"/>
        <v>0</v>
      </c>
      <c r="AB156" s="580">
        <f t="shared" si="43"/>
        <v>0</v>
      </c>
      <c r="AC156" s="580">
        <f t="shared" si="43"/>
        <v>0</v>
      </c>
      <c r="AD156" s="580">
        <f t="shared" si="43"/>
        <v>0</v>
      </c>
      <c r="AE156" s="591">
        <f t="shared" si="43"/>
        <v>0</v>
      </c>
      <c r="AF156" s="822"/>
      <c r="AG156" s="828"/>
      <c r="AH156" s="822"/>
      <c r="AI156" s="822"/>
      <c r="AJ156" s="822"/>
      <c r="AK156" s="806"/>
      <c r="AL156" s="806"/>
      <c r="AM156" s="806"/>
      <c r="AN156" s="806"/>
      <c r="AO156" s="806"/>
      <c r="AP156" s="806"/>
      <c r="AQ156" s="806"/>
      <c r="AR156" s="806"/>
      <c r="AS156" s="806"/>
      <c r="AT156" s="806"/>
      <c r="AU156" s="806"/>
      <c r="AV156" s="806"/>
      <c r="AW156" s="806"/>
      <c r="AX156" s="806"/>
      <c r="AY156" s="584"/>
    </row>
    <row r="157" spans="1:51" ht="28.9" customHeight="1" x14ac:dyDescent="0.25">
      <c r="A157" s="828"/>
      <c r="B157" s="822"/>
      <c r="C157" s="822"/>
      <c r="D157" s="578" t="s">
        <v>352</v>
      </c>
      <c r="E157" s="582"/>
      <c r="F157" s="582"/>
      <c r="G157" s="582"/>
      <c r="H157" s="582">
        <v>930788.88888888888</v>
      </c>
      <c r="I157" s="580">
        <v>930788.88888888888</v>
      </c>
      <c r="J157" s="580">
        <v>930788.88888888888</v>
      </c>
      <c r="K157" s="598">
        <v>930788.88888888888</v>
      </c>
      <c r="L157" s="580">
        <v>930788.88888888888</v>
      </c>
      <c r="M157" s="580">
        <v>930788.88888888888</v>
      </c>
      <c r="N157" s="582">
        <v>930788.88888888888</v>
      </c>
      <c r="O157" s="582">
        <v>930788.88888888888</v>
      </c>
      <c r="P157" s="580">
        <v>930788.88888888888</v>
      </c>
      <c r="Q157" s="580">
        <v>930788.88888888888</v>
      </c>
      <c r="R157" s="580">
        <v>930788.88888888888</v>
      </c>
      <c r="S157" s="580"/>
      <c r="T157" s="581"/>
      <c r="U157" s="580">
        <v>930788.88888888888</v>
      </c>
      <c r="V157" s="580">
        <v>930788.88888888888</v>
      </c>
      <c r="W157" s="580">
        <v>930788.88888888888</v>
      </c>
      <c r="X157" s="580">
        <v>930788.88888888888</v>
      </c>
      <c r="Y157" s="580">
        <v>930788.88888888888</v>
      </c>
      <c r="Z157" s="580">
        <f t="shared" si="43"/>
        <v>930788.88888888888</v>
      </c>
      <c r="AA157" s="580">
        <f t="shared" si="43"/>
        <v>930788.88888888888</v>
      </c>
      <c r="AB157" s="580">
        <f t="shared" si="43"/>
        <v>930788.88888888888</v>
      </c>
      <c r="AC157" s="580">
        <f t="shared" si="43"/>
        <v>930788.88888888888</v>
      </c>
      <c r="AD157" s="580">
        <f t="shared" si="43"/>
        <v>930788.88888888888</v>
      </c>
      <c r="AE157" s="580">
        <f t="shared" si="43"/>
        <v>930788.88888888888</v>
      </c>
      <c r="AF157" s="822"/>
      <c r="AG157" s="828"/>
      <c r="AH157" s="822"/>
      <c r="AI157" s="822"/>
      <c r="AJ157" s="822"/>
      <c r="AK157" s="806"/>
      <c r="AL157" s="806"/>
      <c r="AM157" s="806"/>
      <c r="AN157" s="806"/>
      <c r="AO157" s="806"/>
      <c r="AP157" s="806"/>
      <c r="AQ157" s="806"/>
      <c r="AR157" s="806"/>
      <c r="AS157" s="806"/>
      <c r="AT157" s="806"/>
      <c r="AU157" s="806"/>
      <c r="AV157" s="806"/>
      <c r="AW157" s="806"/>
      <c r="AX157" s="806"/>
      <c r="AY157" s="584"/>
    </row>
    <row r="158" spans="1:51" ht="28.9" customHeight="1" x14ac:dyDescent="0.25">
      <c r="A158" s="828"/>
      <c r="B158" s="822"/>
      <c r="C158" s="822"/>
      <c r="D158" s="579" t="s">
        <v>353</v>
      </c>
      <c r="E158" s="582"/>
      <c r="F158" s="582"/>
      <c r="G158" s="582"/>
      <c r="H158" s="582">
        <v>2</v>
      </c>
      <c r="I158" s="580">
        <v>5</v>
      </c>
      <c r="J158" s="580">
        <v>7</v>
      </c>
      <c r="K158" s="598">
        <v>7</v>
      </c>
      <c r="L158" s="580">
        <v>8</v>
      </c>
      <c r="M158" s="580">
        <v>8</v>
      </c>
      <c r="N158" s="586">
        <v>9</v>
      </c>
      <c r="O158" s="586">
        <v>10</v>
      </c>
      <c r="P158" s="581">
        <v>10</v>
      </c>
      <c r="Q158" s="581">
        <v>11</v>
      </c>
      <c r="R158" s="581">
        <v>11</v>
      </c>
      <c r="S158" s="581"/>
      <c r="T158" s="581"/>
      <c r="U158" s="580">
        <v>2</v>
      </c>
      <c r="V158" s="580">
        <v>5</v>
      </c>
      <c r="W158" s="580">
        <v>7</v>
      </c>
      <c r="X158" s="580">
        <v>7</v>
      </c>
      <c r="Y158" s="580">
        <v>8</v>
      </c>
      <c r="Z158" s="580">
        <f t="shared" si="43"/>
        <v>8</v>
      </c>
      <c r="AA158" s="581">
        <f t="shared" si="43"/>
        <v>9</v>
      </c>
      <c r="AB158" s="580">
        <f t="shared" si="43"/>
        <v>10</v>
      </c>
      <c r="AC158" s="580">
        <f t="shared" si="43"/>
        <v>10</v>
      </c>
      <c r="AD158" s="580">
        <f t="shared" si="43"/>
        <v>11</v>
      </c>
      <c r="AE158" s="581">
        <f t="shared" si="43"/>
        <v>11</v>
      </c>
      <c r="AF158" s="822"/>
      <c r="AG158" s="828"/>
      <c r="AH158" s="822"/>
      <c r="AI158" s="822"/>
      <c r="AJ158" s="822"/>
      <c r="AK158" s="806"/>
      <c r="AL158" s="806"/>
      <c r="AM158" s="806"/>
      <c r="AN158" s="806"/>
      <c r="AO158" s="806"/>
      <c r="AP158" s="806"/>
      <c r="AQ158" s="806"/>
      <c r="AR158" s="806"/>
      <c r="AS158" s="806"/>
      <c r="AT158" s="806"/>
      <c r="AU158" s="806"/>
      <c r="AV158" s="806"/>
      <c r="AW158" s="806"/>
      <c r="AX158" s="806"/>
      <c r="AY158" s="584"/>
    </row>
    <row r="159" spans="1:51" ht="28.9" customHeight="1" x14ac:dyDescent="0.25">
      <c r="A159" s="828"/>
      <c r="B159" s="822"/>
      <c r="C159" s="823"/>
      <c r="D159" s="578" t="s">
        <v>354</v>
      </c>
      <c r="E159" s="582"/>
      <c r="F159" s="582"/>
      <c r="G159" s="582"/>
      <c r="H159" s="582">
        <v>7713865.811965812</v>
      </c>
      <c r="I159" s="580">
        <v>26367327.350427348</v>
      </c>
      <c r="J159" s="580">
        <v>24671558.11965812</v>
      </c>
      <c r="K159" s="580">
        <v>18736365.811965812</v>
      </c>
      <c r="L159" s="580">
        <v>17210173.504273504</v>
      </c>
      <c r="M159" s="580">
        <f t="shared" ref="M159:R159" si="45">+M155+M157</f>
        <v>14496942.735042734</v>
      </c>
      <c r="N159" s="582">
        <f t="shared" si="45"/>
        <v>14012437.240537239</v>
      </c>
      <c r="O159" s="582">
        <f t="shared" si="45"/>
        <v>13649058.119658118</v>
      </c>
      <c r="P159" s="580">
        <f t="shared" si="45"/>
        <v>12235917.094017094</v>
      </c>
      <c r="Q159" s="580">
        <f t="shared" si="45"/>
        <v>12387245.581802273</v>
      </c>
      <c r="R159" s="580">
        <f t="shared" si="45"/>
        <v>13350270.640713705</v>
      </c>
      <c r="S159" s="580"/>
      <c r="T159" s="581"/>
      <c r="U159" s="580">
        <v>7713865.811965812</v>
      </c>
      <c r="V159" s="580">
        <v>26367327.350427348</v>
      </c>
      <c r="W159" s="580">
        <v>24671558.11965812</v>
      </c>
      <c r="X159" s="580">
        <v>18736365.811965812</v>
      </c>
      <c r="Y159" s="580">
        <v>17210173.504273504</v>
      </c>
      <c r="Z159" s="580">
        <f t="shared" si="43"/>
        <v>14496942.735042734</v>
      </c>
      <c r="AA159" s="580">
        <f t="shared" si="43"/>
        <v>14012437.240537239</v>
      </c>
      <c r="AB159" s="580">
        <f t="shared" si="43"/>
        <v>13649058.119658118</v>
      </c>
      <c r="AC159" s="580">
        <f t="shared" si="43"/>
        <v>12235917.094017094</v>
      </c>
      <c r="AD159" s="580">
        <f t="shared" si="43"/>
        <v>12387245.581802273</v>
      </c>
      <c r="AE159" s="580">
        <f t="shared" si="43"/>
        <v>13350270.640713705</v>
      </c>
      <c r="AF159" s="823"/>
      <c r="AG159" s="829"/>
      <c r="AH159" s="823"/>
      <c r="AI159" s="823"/>
      <c r="AJ159" s="823"/>
      <c r="AK159" s="807"/>
      <c r="AL159" s="807"/>
      <c r="AM159" s="807"/>
      <c r="AN159" s="807"/>
      <c r="AO159" s="807"/>
      <c r="AP159" s="807"/>
      <c r="AQ159" s="807"/>
      <c r="AR159" s="807"/>
      <c r="AS159" s="807"/>
      <c r="AT159" s="807"/>
      <c r="AU159" s="807"/>
      <c r="AV159" s="807"/>
      <c r="AW159" s="807"/>
      <c r="AX159" s="807"/>
      <c r="AY159" s="584"/>
    </row>
    <row r="160" spans="1:51" ht="19.149999999999999" customHeight="1" x14ac:dyDescent="0.25">
      <c r="A160" s="828"/>
      <c r="B160" s="822"/>
      <c r="C160" s="821" t="s">
        <v>516</v>
      </c>
      <c r="D160" s="572" t="s">
        <v>345</v>
      </c>
      <c r="E160" s="582"/>
      <c r="F160" s="582"/>
      <c r="G160" s="582"/>
      <c r="H160" s="582">
        <v>2</v>
      </c>
      <c r="I160" s="580">
        <v>2</v>
      </c>
      <c r="J160" s="580">
        <v>2</v>
      </c>
      <c r="K160" s="598">
        <v>2</v>
      </c>
      <c r="L160" s="580">
        <v>2</v>
      </c>
      <c r="M160" s="580">
        <v>2</v>
      </c>
      <c r="N160" s="586">
        <v>4</v>
      </c>
      <c r="O160" s="582">
        <v>4</v>
      </c>
      <c r="P160" s="580">
        <v>5</v>
      </c>
      <c r="Q160" s="580">
        <v>5</v>
      </c>
      <c r="R160" s="580">
        <v>5</v>
      </c>
      <c r="S160" s="580"/>
      <c r="T160" s="581"/>
      <c r="U160" s="580">
        <v>2</v>
      </c>
      <c r="V160" s="580">
        <v>2</v>
      </c>
      <c r="W160" s="580">
        <v>2</v>
      </c>
      <c r="X160" s="580">
        <v>2</v>
      </c>
      <c r="Y160" s="580">
        <v>2</v>
      </c>
      <c r="Z160" s="580">
        <f t="shared" si="43"/>
        <v>2</v>
      </c>
      <c r="AA160" s="581">
        <f t="shared" si="43"/>
        <v>4</v>
      </c>
      <c r="AB160" s="580">
        <f t="shared" si="43"/>
        <v>4</v>
      </c>
      <c r="AC160" s="580">
        <f t="shared" si="43"/>
        <v>5</v>
      </c>
      <c r="AD160" s="580">
        <f t="shared" si="43"/>
        <v>5</v>
      </c>
      <c r="AE160" s="580">
        <f t="shared" si="43"/>
        <v>5</v>
      </c>
      <c r="AF160" s="842" t="s">
        <v>611</v>
      </c>
      <c r="AG160" s="827" t="s">
        <v>612</v>
      </c>
      <c r="AH160" s="824" t="s">
        <v>613</v>
      </c>
      <c r="AI160" s="824" t="s">
        <v>614</v>
      </c>
      <c r="AJ160" s="821" t="s">
        <v>610</v>
      </c>
      <c r="AK160" s="826" t="s">
        <v>490</v>
      </c>
      <c r="AL160" s="826" t="s">
        <v>615</v>
      </c>
      <c r="AM160" s="826" t="s">
        <v>491</v>
      </c>
      <c r="AN160" s="861">
        <v>107677</v>
      </c>
      <c r="AO160" s="820">
        <v>53035</v>
      </c>
      <c r="AP160" s="820">
        <v>54642</v>
      </c>
      <c r="AQ160" s="840" t="s">
        <v>492</v>
      </c>
      <c r="AR160" s="840" t="s">
        <v>492</v>
      </c>
      <c r="AS160" s="840" t="s">
        <v>492</v>
      </c>
      <c r="AT160" s="840" t="s">
        <v>492</v>
      </c>
      <c r="AU160" s="833" t="s">
        <v>492</v>
      </c>
      <c r="AV160" s="833" t="s">
        <v>492</v>
      </c>
      <c r="AW160" s="833" t="s">
        <v>492</v>
      </c>
      <c r="AX160" s="861">
        <v>106587</v>
      </c>
      <c r="AY160" s="584"/>
    </row>
    <row r="161" spans="1:51" ht="19.149999999999999" customHeight="1" x14ac:dyDescent="0.25">
      <c r="A161" s="828"/>
      <c r="B161" s="822"/>
      <c r="C161" s="822"/>
      <c r="D161" s="578" t="s">
        <v>349</v>
      </c>
      <c r="E161" s="582"/>
      <c r="F161" s="582"/>
      <c r="G161" s="582"/>
      <c r="H161" s="582">
        <v>6783076.923076923</v>
      </c>
      <c r="I161" s="580">
        <v>10174615.384615384</v>
      </c>
      <c r="J161" s="580">
        <v>6783076.923076923</v>
      </c>
      <c r="K161" s="580">
        <v>5087307.692307692</v>
      </c>
      <c r="L161" s="580">
        <v>4069846.153846154</v>
      </c>
      <c r="M161" s="580">
        <f>+M160*$Z$143/$Z$142</f>
        <v>3391538.4615384615</v>
      </c>
      <c r="N161" s="582">
        <f>+N160*$AA$143/$AA$142</f>
        <v>5814065.9340659343</v>
      </c>
      <c r="O161" s="582">
        <f>+O160*$AB$143/$AB$142</f>
        <v>5087307.692307692</v>
      </c>
      <c r="P161" s="580">
        <f>+P160*$AC$143/$AC$142</f>
        <v>5652564.102564103</v>
      </c>
      <c r="Q161" s="580">
        <f>+Q160*$AD$143/$AD$142</f>
        <v>5207480.3149606297</v>
      </c>
      <c r="R161" s="580">
        <f>+R160*$AE$143/$AE$142</f>
        <v>5645218.9781021895</v>
      </c>
      <c r="S161" s="580"/>
      <c r="T161" s="581"/>
      <c r="U161" s="580">
        <v>6783076.923076923</v>
      </c>
      <c r="V161" s="580">
        <v>10174615.384615384</v>
      </c>
      <c r="W161" s="580">
        <v>6783076.923076923</v>
      </c>
      <c r="X161" s="580">
        <v>5087307.692307692</v>
      </c>
      <c r="Y161" s="580">
        <v>4069846.153846154</v>
      </c>
      <c r="Z161" s="580">
        <f t="shared" si="43"/>
        <v>3391538.4615384615</v>
      </c>
      <c r="AA161" s="580">
        <f t="shared" si="43"/>
        <v>5814065.9340659343</v>
      </c>
      <c r="AB161" s="580">
        <f t="shared" si="43"/>
        <v>5087307.692307692</v>
      </c>
      <c r="AC161" s="580">
        <f t="shared" si="43"/>
        <v>5652564.102564103</v>
      </c>
      <c r="AD161" s="580">
        <f t="shared" si="43"/>
        <v>5207480.3149606297</v>
      </c>
      <c r="AE161" s="580">
        <f t="shared" si="43"/>
        <v>5645218.9781021895</v>
      </c>
      <c r="AF161" s="838"/>
      <c r="AG161" s="828"/>
      <c r="AH161" s="822"/>
      <c r="AI161" s="822"/>
      <c r="AJ161" s="822"/>
      <c r="AK161" s="806"/>
      <c r="AL161" s="806"/>
      <c r="AM161" s="806"/>
      <c r="AN161" s="806"/>
      <c r="AO161" s="806"/>
      <c r="AP161" s="806"/>
      <c r="AQ161" s="806"/>
      <c r="AR161" s="806"/>
      <c r="AS161" s="806"/>
      <c r="AT161" s="806"/>
      <c r="AU161" s="806"/>
      <c r="AV161" s="806"/>
      <c r="AW161" s="806"/>
      <c r="AX161" s="806"/>
      <c r="AY161" s="584"/>
    </row>
    <row r="162" spans="1:51" ht="28.9" customHeight="1" x14ac:dyDescent="0.25">
      <c r="A162" s="828"/>
      <c r="B162" s="822"/>
      <c r="C162" s="822"/>
      <c r="D162" s="579" t="s">
        <v>351</v>
      </c>
      <c r="E162" s="582"/>
      <c r="F162" s="582"/>
      <c r="G162" s="582"/>
      <c r="H162" s="582"/>
      <c r="I162" s="580"/>
      <c r="J162" s="580"/>
      <c r="K162" s="598"/>
      <c r="L162" s="580"/>
      <c r="M162" s="580"/>
      <c r="N162" s="586"/>
      <c r="O162" s="582"/>
      <c r="P162" s="580"/>
      <c r="Q162" s="580"/>
      <c r="R162" s="580"/>
      <c r="S162" s="580"/>
      <c r="T162" s="581"/>
      <c r="U162" s="580">
        <v>0</v>
      </c>
      <c r="V162" s="580">
        <v>0</v>
      </c>
      <c r="W162" s="580">
        <v>0</v>
      </c>
      <c r="X162" s="580">
        <v>0</v>
      </c>
      <c r="Y162" s="580">
        <v>0</v>
      </c>
      <c r="Z162" s="580">
        <f t="shared" si="43"/>
        <v>0</v>
      </c>
      <c r="AA162" s="581">
        <f t="shared" si="43"/>
        <v>0</v>
      </c>
      <c r="AB162" s="580">
        <f t="shared" si="43"/>
        <v>0</v>
      </c>
      <c r="AC162" s="580">
        <f t="shared" si="43"/>
        <v>0</v>
      </c>
      <c r="AD162" s="580">
        <f t="shared" si="43"/>
        <v>0</v>
      </c>
      <c r="AE162" s="580">
        <f t="shared" si="43"/>
        <v>0</v>
      </c>
      <c r="AF162" s="838"/>
      <c r="AG162" s="828"/>
      <c r="AH162" s="822"/>
      <c r="AI162" s="822"/>
      <c r="AJ162" s="822"/>
      <c r="AK162" s="806"/>
      <c r="AL162" s="806"/>
      <c r="AM162" s="806"/>
      <c r="AN162" s="806"/>
      <c r="AO162" s="806"/>
      <c r="AP162" s="806"/>
      <c r="AQ162" s="806"/>
      <c r="AR162" s="806"/>
      <c r="AS162" s="806"/>
      <c r="AT162" s="806"/>
      <c r="AU162" s="806"/>
      <c r="AV162" s="806"/>
      <c r="AW162" s="806"/>
      <c r="AX162" s="806"/>
      <c r="AY162" s="584"/>
    </row>
    <row r="163" spans="1:51" ht="28.9" customHeight="1" x14ac:dyDescent="0.25">
      <c r="A163" s="828"/>
      <c r="B163" s="822"/>
      <c r="C163" s="822"/>
      <c r="D163" s="578" t="s">
        <v>352</v>
      </c>
      <c r="E163" s="582"/>
      <c r="F163" s="582"/>
      <c r="G163" s="582"/>
      <c r="H163" s="582">
        <v>930788.88888888888</v>
      </c>
      <c r="I163" s="580">
        <v>930788.88888888899</v>
      </c>
      <c r="J163" s="580">
        <v>930788.88888888899</v>
      </c>
      <c r="K163" s="598">
        <v>930788.88888888888</v>
      </c>
      <c r="L163" s="580">
        <v>930788.88888888888</v>
      </c>
      <c r="M163" s="580">
        <v>930788.88888888888</v>
      </c>
      <c r="N163" s="582">
        <v>930788.88888888888</v>
      </c>
      <c r="O163" s="582">
        <v>930788.88888888888</v>
      </c>
      <c r="P163" s="580">
        <v>930788.88888888888</v>
      </c>
      <c r="Q163" s="580">
        <v>930788.88888888888</v>
      </c>
      <c r="R163" s="580">
        <v>930788.88888888888</v>
      </c>
      <c r="S163" s="580"/>
      <c r="T163" s="581"/>
      <c r="U163" s="580">
        <v>930788.88888888888</v>
      </c>
      <c r="V163" s="580">
        <v>930788.88888888899</v>
      </c>
      <c r="W163" s="580">
        <v>930788.88888888899</v>
      </c>
      <c r="X163" s="580">
        <v>930788.88888888888</v>
      </c>
      <c r="Y163" s="580">
        <v>930788.88888888888</v>
      </c>
      <c r="Z163" s="580">
        <f t="shared" si="43"/>
        <v>930788.88888888888</v>
      </c>
      <c r="AA163" s="580">
        <f t="shared" si="43"/>
        <v>930788.88888888888</v>
      </c>
      <c r="AB163" s="580">
        <f t="shared" si="43"/>
        <v>930788.88888888888</v>
      </c>
      <c r="AC163" s="580">
        <f t="shared" si="43"/>
        <v>930788.88888888888</v>
      </c>
      <c r="AD163" s="580">
        <f t="shared" si="43"/>
        <v>930788.88888888888</v>
      </c>
      <c r="AE163" s="580">
        <f t="shared" si="43"/>
        <v>930788.88888888888</v>
      </c>
      <c r="AF163" s="838"/>
      <c r="AG163" s="828"/>
      <c r="AH163" s="822"/>
      <c r="AI163" s="822"/>
      <c r="AJ163" s="822"/>
      <c r="AK163" s="806"/>
      <c r="AL163" s="806"/>
      <c r="AM163" s="806"/>
      <c r="AN163" s="806"/>
      <c r="AO163" s="806"/>
      <c r="AP163" s="806"/>
      <c r="AQ163" s="806"/>
      <c r="AR163" s="806"/>
      <c r="AS163" s="806"/>
      <c r="AT163" s="806"/>
      <c r="AU163" s="806"/>
      <c r="AV163" s="806"/>
      <c r="AW163" s="806"/>
      <c r="AX163" s="806"/>
      <c r="AY163" s="584"/>
    </row>
    <row r="164" spans="1:51" ht="28.9" customHeight="1" x14ac:dyDescent="0.25">
      <c r="A164" s="828"/>
      <c r="B164" s="822"/>
      <c r="C164" s="822"/>
      <c r="D164" s="579" t="s">
        <v>353</v>
      </c>
      <c r="E164" s="582"/>
      <c r="F164" s="582"/>
      <c r="G164" s="582"/>
      <c r="H164" s="582">
        <v>2</v>
      </c>
      <c r="I164" s="580">
        <v>2</v>
      </c>
      <c r="J164" s="580">
        <v>2</v>
      </c>
      <c r="K164" s="598">
        <v>2</v>
      </c>
      <c r="L164" s="580">
        <v>2</v>
      </c>
      <c r="M164" s="580">
        <v>2</v>
      </c>
      <c r="N164" s="586">
        <v>4</v>
      </c>
      <c r="O164" s="586">
        <v>4</v>
      </c>
      <c r="P164" s="580">
        <v>5</v>
      </c>
      <c r="Q164" s="580">
        <v>5</v>
      </c>
      <c r="R164" s="580">
        <v>5</v>
      </c>
      <c r="S164" s="580"/>
      <c r="T164" s="581"/>
      <c r="U164" s="580">
        <v>2</v>
      </c>
      <c r="V164" s="580">
        <v>2</v>
      </c>
      <c r="W164" s="580">
        <v>2</v>
      </c>
      <c r="X164" s="580">
        <v>2</v>
      </c>
      <c r="Y164" s="580">
        <v>2</v>
      </c>
      <c r="Z164" s="580">
        <f t="shared" ref="Z164:AE179" si="46">+M164</f>
        <v>2</v>
      </c>
      <c r="AA164" s="581">
        <f t="shared" si="46"/>
        <v>4</v>
      </c>
      <c r="AB164" s="580">
        <f t="shared" si="46"/>
        <v>4</v>
      </c>
      <c r="AC164" s="580">
        <f t="shared" si="46"/>
        <v>5</v>
      </c>
      <c r="AD164" s="580">
        <f t="shared" si="46"/>
        <v>5</v>
      </c>
      <c r="AE164" s="580">
        <f t="shared" si="46"/>
        <v>5</v>
      </c>
      <c r="AF164" s="838"/>
      <c r="AG164" s="828"/>
      <c r="AH164" s="822"/>
      <c r="AI164" s="822"/>
      <c r="AJ164" s="822"/>
      <c r="AK164" s="806"/>
      <c r="AL164" s="806"/>
      <c r="AM164" s="806"/>
      <c r="AN164" s="806"/>
      <c r="AO164" s="806"/>
      <c r="AP164" s="806"/>
      <c r="AQ164" s="806"/>
      <c r="AR164" s="806"/>
      <c r="AS164" s="806"/>
      <c r="AT164" s="806"/>
      <c r="AU164" s="806"/>
      <c r="AV164" s="806"/>
      <c r="AW164" s="806"/>
      <c r="AX164" s="806"/>
      <c r="AY164" s="584"/>
    </row>
    <row r="165" spans="1:51" ht="28.9" customHeight="1" x14ac:dyDescent="0.25">
      <c r="A165" s="828"/>
      <c r="B165" s="822"/>
      <c r="C165" s="823"/>
      <c r="D165" s="578" t="s">
        <v>354</v>
      </c>
      <c r="E165" s="582"/>
      <c r="F165" s="582"/>
      <c r="G165" s="582"/>
      <c r="H165" s="582">
        <v>7713865.811965812</v>
      </c>
      <c r="I165" s="580">
        <v>11105404.273504272</v>
      </c>
      <c r="J165" s="580">
        <v>7713865.811965812</v>
      </c>
      <c r="K165" s="580">
        <v>6018096.581196581</v>
      </c>
      <c r="L165" s="580">
        <v>5000635.042735043</v>
      </c>
      <c r="M165" s="580">
        <f t="shared" ref="M165:R165" si="47">+M161+M163</f>
        <v>4322327.35042735</v>
      </c>
      <c r="N165" s="582">
        <f t="shared" si="47"/>
        <v>6744854.8229548233</v>
      </c>
      <c r="O165" s="582">
        <f t="shared" si="47"/>
        <v>6018096.581196581</v>
      </c>
      <c r="P165" s="580">
        <f t="shared" si="47"/>
        <v>6583352.991452992</v>
      </c>
      <c r="Q165" s="580">
        <f t="shared" si="47"/>
        <v>6138269.2038495187</v>
      </c>
      <c r="R165" s="580">
        <f t="shared" si="47"/>
        <v>6576007.8669910785</v>
      </c>
      <c r="S165" s="580"/>
      <c r="T165" s="581"/>
      <c r="U165" s="580">
        <v>7713865.811965812</v>
      </c>
      <c r="V165" s="580">
        <v>11105404.273504272</v>
      </c>
      <c r="W165" s="580">
        <v>7713865.811965812</v>
      </c>
      <c r="X165" s="580">
        <v>6018096.581196581</v>
      </c>
      <c r="Y165" s="580">
        <v>5000635.042735043</v>
      </c>
      <c r="Z165" s="580">
        <f t="shared" si="46"/>
        <v>4322327.35042735</v>
      </c>
      <c r="AA165" s="580">
        <f t="shared" si="46"/>
        <v>6744854.8229548233</v>
      </c>
      <c r="AB165" s="580">
        <f t="shared" si="46"/>
        <v>6018096.581196581</v>
      </c>
      <c r="AC165" s="580">
        <f t="shared" si="46"/>
        <v>6583352.991452992</v>
      </c>
      <c r="AD165" s="580">
        <f t="shared" si="46"/>
        <v>6138269.2038495187</v>
      </c>
      <c r="AE165" s="580">
        <f t="shared" si="46"/>
        <v>6576007.8669910785</v>
      </c>
      <c r="AF165" s="838"/>
      <c r="AG165" s="829"/>
      <c r="AH165" s="823"/>
      <c r="AI165" s="823"/>
      <c r="AJ165" s="823"/>
      <c r="AK165" s="807"/>
      <c r="AL165" s="807"/>
      <c r="AM165" s="807"/>
      <c r="AN165" s="807"/>
      <c r="AO165" s="807"/>
      <c r="AP165" s="807"/>
      <c r="AQ165" s="807"/>
      <c r="AR165" s="807"/>
      <c r="AS165" s="807"/>
      <c r="AT165" s="807"/>
      <c r="AU165" s="807"/>
      <c r="AV165" s="807"/>
      <c r="AW165" s="807"/>
      <c r="AX165" s="807"/>
      <c r="AY165" s="584"/>
    </row>
    <row r="166" spans="1:51" ht="22.9" customHeight="1" x14ac:dyDescent="0.25">
      <c r="A166" s="828"/>
      <c r="B166" s="822"/>
      <c r="C166" s="821" t="s">
        <v>522</v>
      </c>
      <c r="D166" s="572" t="s">
        <v>345</v>
      </c>
      <c r="E166" s="582"/>
      <c r="F166" s="582"/>
      <c r="G166" s="582"/>
      <c r="H166" s="582">
        <v>1</v>
      </c>
      <c r="I166" s="580">
        <v>3</v>
      </c>
      <c r="J166" s="580">
        <v>3</v>
      </c>
      <c r="K166" s="598">
        <v>3</v>
      </c>
      <c r="L166" s="580">
        <v>3</v>
      </c>
      <c r="M166" s="580">
        <v>4</v>
      </c>
      <c r="N166" s="586">
        <v>4</v>
      </c>
      <c r="O166" s="582">
        <v>5</v>
      </c>
      <c r="P166" s="580">
        <v>5</v>
      </c>
      <c r="Q166" s="580">
        <v>5</v>
      </c>
      <c r="R166" s="580">
        <v>5</v>
      </c>
      <c r="S166" s="580"/>
      <c r="T166" s="581"/>
      <c r="U166" s="580">
        <v>1</v>
      </c>
      <c r="V166" s="580">
        <v>3</v>
      </c>
      <c r="W166" s="580">
        <v>3</v>
      </c>
      <c r="X166" s="580">
        <v>3</v>
      </c>
      <c r="Y166" s="580">
        <v>3</v>
      </c>
      <c r="Z166" s="580">
        <f t="shared" si="46"/>
        <v>4</v>
      </c>
      <c r="AA166" s="581">
        <f t="shared" si="46"/>
        <v>4</v>
      </c>
      <c r="AB166" s="580">
        <f t="shared" si="46"/>
        <v>5</v>
      </c>
      <c r="AC166" s="580">
        <f t="shared" si="46"/>
        <v>5</v>
      </c>
      <c r="AD166" s="580">
        <f t="shared" si="46"/>
        <v>5</v>
      </c>
      <c r="AE166" s="580">
        <f t="shared" si="46"/>
        <v>5</v>
      </c>
      <c r="AF166" s="896" t="s">
        <v>616</v>
      </c>
      <c r="AG166" s="827" t="s">
        <v>524</v>
      </c>
      <c r="AH166" s="824" t="s">
        <v>617</v>
      </c>
      <c r="AI166" s="824" t="s">
        <v>618</v>
      </c>
      <c r="AJ166" s="656" t="s">
        <v>499</v>
      </c>
      <c r="AK166" s="826" t="s">
        <v>490</v>
      </c>
      <c r="AL166" s="893" t="s">
        <v>619</v>
      </c>
      <c r="AM166" s="826" t="s">
        <v>491</v>
      </c>
      <c r="AN166" s="861">
        <v>406498</v>
      </c>
      <c r="AO166" s="861">
        <v>195731</v>
      </c>
      <c r="AP166" s="861">
        <v>210767</v>
      </c>
      <c r="AQ166" s="840" t="s">
        <v>492</v>
      </c>
      <c r="AR166" s="840" t="s">
        <v>492</v>
      </c>
      <c r="AS166" s="840" t="s">
        <v>492</v>
      </c>
      <c r="AT166" s="840" t="s">
        <v>492</v>
      </c>
      <c r="AU166" s="833" t="s">
        <v>492</v>
      </c>
      <c r="AV166" s="833" t="s">
        <v>492</v>
      </c>
      <c r="AW166" s="833" t="s">
        <v>492</v>
      </c>
      <c r="AX166" s="861">
        <v>406428</v>
      </c>
      <c r="AY166" s="584"/>
    </row>
    <row r="167" spans="1:51" ht="34.15" customHeight="1" x14ac:dyDescent="0.25">
      <c r="A167" s="828"/>
      <c r="B167" s="822"/>
      <c r="C167" s="822"/>
      <c r="D167" s="578" t="s">
        <v>349</v>
      </c>
      <c r="E167" s="582"/>
      <c r="F167" s="582"/>
      <c r="G167" s="582"/>
      <c r="H167" s="582">
        <v>3391538.4615384615</v>
      </c>
      <c r="I167" s="580">
        <v>15261923.076923076</v>
      </c>
      <c r="J167" s="580">
        <v>10174615.384615384</v>
      </c>
      <c r="K167" s="580">
        <v>7630961.538461538</v>
      </c>
      <c r="L167" s="580">
        <v>6104769.230769231</v>
      </c>
      <c r="M167" s="580">
        <f>+M166*$Z$143/$Z$142</f>
        <v>6783076.923076923</v>
      </c>
      <c r="N167" s="582">
        <f>+N166*$AA$143/$AA$142</f>
        <v>5814065.9340659343</v>
      </c>
      <c r="O167" s="582">
        <f>+O166*$AB$143/$AB$142</f>
        <v>6359134.615384615</v>
      </c>
      <c r="P167" s="580">
        <f>+P166*$AC$143/$AC$142</f>
        <v>5652564.102564103</v>
      </c>
      <c r="Q167" s="580">
        <f>+Q166*$AD$143/$AD$142</f>
        <v>5207480.3149606297</v>
      </c>
      <c r="R167" s="580">
        <f>+R166*$AE$143/$AE$142</f>
        <v>5645218.9781021895</v>
      </c>
      <c r="S167" s="580"/>
      <c r="T167" s="581"/>
      <c r="U167" s="580">
        <v>3391538.4615384615</v>
      </c>
      <c r="V167" s="580">
        <v>15261923.076923076</v>
      </c>
      <c r="W167" s="580">
        <v>10174615.384615384</v>
      </c>
      <c r="X167" s="580">
        <v>7630961.538461538</v>
      </c>
      <c r="Y167" s="580">
        <v>6104769.230769231</v>
      </c>
      <c r="Z167" s="580">
        <f t="shared" si="46"/>
        <v>6783076.923076923</v>
      </c>
      <c r="AA167" s="580">
        <f t="shared" si="46"/>
        <v>5814065.9340659343</v>
      </c>
      <c r="AB167" s="580">
        <f t="shared" si="46"/>
        <v>6359134.615384615</v>
      </c>
      <c r="AC167" s="580">
        <f t="shared" si="46"/>
        <v>5652564.102564103</v>
      </c>
      <c r="AD167" s="580">
        <f t="shared" si="46"/>
        <v>5207480.3149606297</v>
      </c>
      <c r="AE167" s="580">
        <f t="shared" si="46"/>
        <v>5645218.9781021895</v>
      </c>
      <c r="AF167" s="838"/>
      <c r="AG167" s="828"/>
      <c r="AH167" s="822"/>
      <c r="AI167" s="822"/>
      <c r="AJ167" s="657" t="s">
        <v>501</v>
      </c>
      <c r="AK167" s="806"/>
      <c r="AL167" s="806"/>
      <c r="AM167" s="806"/>
      <c r="AN167" s="806"/>
      <c r="AO167" s="806"/>
      <c r="AP167" s="806"/>
      <c r="AQ167" s="806"/>
      <c r="AR167" s="806"/>
      <c r="AS167" s="806"/>
      <c r="AT167" s="806"/>
      <c r="AU167" s="806"/>
      <c r="AV167" s="806"/>
      <c r="AW167" s="806"/>
      <c r="AX167" s="806"/>
      <c r="AY167" s="584"/>
    </row>
    <row r="168" spans="1:51" ht="28.9" customHeight="1" x14ac:dyDescent="0.25">
      <c r="A168" s="828"/>
      <c r="B168" s="822"/>
      <c r="C168" s="822"/>
      <c r="D168" s="579" t="s">
        <v>351</v>
      </c>
      <c r="E168" s="582"/>
      <c r="F168" s="582"/>
      <c r="G168" s="582"/>
      <c r="H168" s="582"/>
      <c r="I168" s="580"/>
      <c r="J168" s="580"/>
      <c r="K168" s="598"/>
      <c r="L168" s="580"/>
      <c r="M168" s="580"/>
      <c r="N168" s="586"/>
      <c r="O168" s="582"/>
      <c r="P168" s="580"/>
      <c r="Q168" s="580"/>
      <c r="R168" s="580"/>
      <c r="S168" s="580"/>
      <c r="T168" s="581"/>
      <c r="U168" s="580">
        <v>0</v>
      </c>
      <c r="V168" s="580">
        <v>0</v>
      </c>
      <c r="W168" s="580">
        <v>0</v>
      </c>
      <c r="X168" s="580">
        <v>0</v>
      </c>
      <c r="Y168" s="580">
        <v>0</v>
      </c>
      <c r="Z168" s="580">
        <f t="shared" si="46"/>
        <v>0</v>
      </c>
      <c r="AA168" s="581">
        <f t="shared" si="46"/>
        <v>0</v>
      </c>
      <c r="AB168" s="580">
        <f t="shared" si="46"/>
        <v>0</v>
      </c>
      <c r="AC168" s="580">
        <f t="shared" si="46"/>
        <v>0</v>
      </c>
      <c r="AD168" s="580">
        <f t="shared" si="46"/>
        <v>0</v>
      </c>
      <c r="AE168" s="580">
        <f t="shared" si="46"/>
        <v>0</v>
      </c>
      <c r="AF168" s="838"/>
      <c r="AG168" s="828"/>
      <c r="AH168" s="822"/>
      <c r="AI168" s="822"/>
      <c r="AJ168" s="657" t="s">
        <v>606</v>
      </c>
      <c r="AK168" s="806"/>
      <c r="AL168" s="806"/>
      <c r="AM168" s="806"/>
      <c r="AN168" s="806"/>
      <c r="AO168" s="806"/>
      <c r="AP168" s="806"/>
      <c r="AQ168" s="806"/>
      <c r="AR168" s="806"/>
      <c r="AS168" s="806"/>
      <c r="AT168" s="806"/>
      <c r="AU168" s="806"/>
      <c r="AV168" s="806"/>
      <c r="AW168" s="806"/>
      <c r="AX168" s="806"/>
      <c r="AY168" s="584"/>
    </row>
    <row r="169" spans="1:51" ht="45.6" customHeight="1" x14ac:dyDescent="0.25">
      <c r="A169" s="828"/>
      <c r="B169" s="822"/>
      <c r="C169" s="822"/>
      <c r="D169" s="578" t="s">
        <v>352</v>
      </c>
      <c r="E169" s="582"/>
      <c r="F169" s="582"/>
      <c r="G169" s="582"/>
      <c r="H169" s="582">
        <v>930788.88888888888</v>
      </c>
      <c r="I169" s="580">
        <v>930788.88888888899</v>
      </c>
      <c r="J169" s="580">
        <v>930788.88888888899</v>
      </c>
      <c r="K169" s="598">
        <v>930788.88888888888</v>
      </c>
      <c r="L169" s="580">
        <v>930788.88888888888</v>
      </c>
      <c r="M169" s="580">
        <v>930788.88888888888</v>
      </c>
      <c r="N169" s="582">
        <v>930788.88888888888</v>
      </c>
      <c r="O169" s="582">
        <v>930788.88888888888</v>
      </c>
      <c r="P169" s="580">
        <v>930788.88888888888</v>
      </c>
      <c r="Q169" s="580">
        <v>930788.88888888888</v>
      </c>
      <c r="R169" s="580">
        <v>930788.88888888888</v>
      </c>
      <c r="S169" s="580"/>
      <c r="T169" s="581"/>
      <c r="U169" s="580">
        <v>930788.88888888888</v>
      </c>
      <c r="V169" s="580">
        <v>930788.88888888899</v>
      </c>
      <c r="W169" s="580">
        <v>930788.88888888899</v>
      </c>
      <c r="X169" s="580">
        <v>930788.88888888888</v>
      </c>
      <c r="Y169" s="580">
        <v>930788.88888888888</v>
      </c>
      <c r="Z169" s="580">
        <f t="shared" si="46"/>
        <v>930788.88888888888</v>
      </c>
      <c r="AA169" s="580">
        <f t="shared" si="46"/>
        <v>930788.88888888888</v>
      </c>
      <c r="AB169" s="580">
        <f t="shared" si="46"/>
        <v>930788.88888888888</v>
      </c>
      <c r="AC169" s="580">
        <f t="shared" si="46"/>
        <v>930788.88888888888</v>
      </c>
      <c r="AD169" s="580">
        <f t="shared" si="46"/>
        <v>930788.88888888888</v>
      </c>
      <c r="AE169" s="580">
        <f t="shared" si="46"/>
        <v>930788.88888888888</v>
      </c>
      <c r="AF169" s="838"/>
      <c r="AG169" s="828"/>
      <c r="AH169" s="822"/>
      <c r="AI169" s="822"/>
      <c r="AJ169" s="657" t="s">
        <v>503</v>
      </c>
      <c r="AK169" s="806"/>
      <c r="AL169" s="806"/>
      <c r="AM169" s="806"/>
      <c r="AN169" s="806"/>
      <c r="AO169" s="806"/>
      <c r="AP169" s="806"/>
      <c r="AQ169" s="806"/>
      <c r="AR169" s="806"/>
      <c r="AS169" s="806"/>
      <c r="AT169" s="806"/>
      <c r="AU169" s="806"/>
      <c r="AV169" s="806"/>
      <c r="AW169" s="806"/>
      <c r="AX169" s="806"/>
      <c r="AY169" s="584"/>
    </row>
    <row r="170" spans="1:51" ht="72" customHeight="1" x14ac:dyDescent="0.25">
      <c r="A170" s="828"/>
      <c r="B170" s="822"/>
      <c r="C170" s="822"/>
      <c r="D170" s="579" t="s">
        <v>353</v>
      </c>
      <c r="E170" s="582"/>
      <c r="F170" s="582"/>
      <c r="G170" s="582"/>
      <c r="H170" s="582">
        <v>1</v>
      </c>
      <c r="I170" s="580">
        <v>3</v>
      </c>
      <c r="J170" s="580">
        <v>3</v>
      </c>
      <c r="K170" s="598">
        <v>3</v>
      </c>
      <c r="L170" s="580">
        <v>3</v>
      </c>
      <c r="M170" s="580">
        <v>4</v>
      </c>
      <c r="N170" s="586">
        <v>4</v>
      </c>
      <c r="O170" s="586">
        <v>5</v>
      </c>
      <c r="P170" s="581">
        <v>5</v>
      </c>
      <c r="Q170" s="581">
        <v>5</v>
      </c>
      <c r="R170" s="581">
        <v>5</v>
      </c>
      <c r="S170" s="581"/>
      <c r="T170" s="581"/>
      <c r="U170" s="580">
        <v>1</v>
      </c>
      <c r="V170" s="580">
        <v>3</v>
      </c>
      <c r="W170" s="580">
        <v>3</v>
      </c>
      <c r="X170" s="580">
        <v>3</v>
      </c>
      <c r="Y170" s="580">
        <v>3</v>
      </c>
      <c r="Z170" s="580">
        <f t="shared" si="46"/>
        <v>4</v>
      </c>
      <c r="AA170" s="581">
        <f t="shared" si="46"/>
        <v>4</v>
      </c>
      <c r="AB170" s="580">
        <f t="shared" si="46"/>
        <v>5</v>
      </c>
      <c r="AC170" s="580">
        <f t="shared" si="46"/>
        <v>5</v>
      </c>
      <c r="AD170" s="580">
        <f t="shared" si="46"/>
        <v>5</v>
      </c>
      <c r="AE170" s="581">
        <f t="shared" si="46"/>
        <v>5</v>
      </c>
      <c r="AF170" s="838"/>
      <c r="AG170" s="828"/>
      <c r="AH170" s="822"/>
      <c r="AI170" s="822"/>
      <c r="AJ170" s="662" t="s">
        <v>504</v>
      </c>
      <c r="AK170" s="806"/>
      <c r="AL170" s="806"/>
      <c r="AM170" s="806"/>
      <c r="AN170" s="806"/>
      <c r="AO170" s="806"/>
      <c r="AP170" s="806"/>
      <c r="AQ170" s="806"/>
      <c r="AR170" s="806"/>
      <c r="AS170" s="806"/>
      <c r="AT170" s="806"/>
      <c r="AU170" s="806"/>
      <c r="AV170" s="806"/>
      <c r="AW170" s="806"/>
      <c r="AX170" s="806"/>
      <c r="AY170" s="584"/>
    </row>
    <row r="171" spans="1:51" ht="28.9" customHeight="1" x14ac:dyDescent="0.25">
      <c r="A171" s="828"/>
      <c r="B171" s="822"/>
      <c r="C171" s="823"/>
      <c r="D171" s="578" t="s">
        <v>354</v>
      </c>
      <c r="E171" s="582"/>
      <c r="F171" s="582"/>
      <c r="G171" s="582"/>
      <c r="H171" s="582">
        <v>4322327.35042735</v>
      </c>
      <c r="I171" s="580">
        <v>16192711.965811964</v>
      </c>
      <c r="J171" s="580">
        <v>11105404.273504272</v>
      </c>
      <c r="K171" s="580">
        <v>8561750.4273504261</v>
      </c>
      <c r="L171" s="580">
        <v>7035558.11965812</v>
      </c>
      <c r="M171" s="580">
        <f t="shared" ref="M171:R171" si="48">+M167+M169</f>
        <v>7713865.811965812</v>
      </c>
      <c r="N171" s="582">
        <f t="shared" si="48"/>
        <v>6744854.8229548233</v>
      </c>
      <c r="O171" s="582">
        <f t="shared" si="48"/>
        <v>7289923.504273504</v>
      </c>
      <c r="P171" s="580">
        <f t="shared" si="48"/>
        <v>6583352.991452992</v>
      </c>
      <c r="Q171" s="580">
        <f t="shared" si="48"/>
        <v>6138269.2038495187</v>
      </c>
      <c r="R171" s="580">
        <f t="shared" si="48"/>
        <v>6576007.8669910785</v>
      </c>
      <c r="S171" s="580"/>
      <c r="T171" s="581"/>
      <c r="U171" s="580">
        <v>4322327.35042735</v>
      </c>
      <c r="V171" s="580">
        <v>16192711.965811964</v>
      </c>
      <c r="W171" s="580">
        <v>11105404.273504272</v>
      </c>
      <c r="X171" s="580">
        <v>8561750.4273504261</v>
      </c>
      <c r="Y171" s="580">
        <v>7035558.11965812</v>
      </c>
      <c r="Z171" s="580">
        <f t="shared" si="46"/>
        <v>7713865.811965812</v>
      </c>
      <c r="AA171" s="580">
        <f t="shared" si="46"/>
        <v>6744854.8229548233</v>
      </c>
      <c r="AB171" s="580">
        <f t="shared" si="46"/>
        <v>7289923.504273504</v>
      </c>
      <c r="AC171" s="580">
        <f t="shared" si="46"/>
        <v>6583352.991452992</v>
      </c>
      <c r="AD171" s="580">
        <f t="shared" si="46"/>
        <v>6138269.2038495187</v>
      </c>
      <c r="AE171" s="580">
        <f t="shared" si="46"/>
        <v>6576007.8669910785</v>
      </c>
      <c r="AF171" s="838"/>
      <c r="AG171" s="829"/>
      <c r="AH171" s="823"/>
      <c r="AI171" s="823"/>
      <c r="AJ171" s="659" t="s">
        <v>505</v>
      </c>
      <c r="AK171" s="807"/>
      <c r="AL171" s="807"/>
      <c r="AM171" s="807"/>
      <c r="AN171" s="807"/>
      <c r="AO171" s="807"/>
      <c r="AP171" s="807"/>
      <c r="AQ171" s="807"/>
      <c r="AR171" s="807"/>
      <c r="AS171" s="807"/>
      <c r="AT171" s="807"/>
      <c r="AU171" s="807"/>
      <c r="AV171" s="807"/>
      <c r="AW171" s="807"/>
      <c r="AX171" s="807"/>
      <c r="AY171" s="584"/>
    </row>
    <row r="172" spans="1:51" ht="19.149999999999999" customHeight="1" x14ac:dyDescent="0.25">
      <c r="A172" s="828"/>
      <c r="B172" s="822"/>
      <c r="C172" s="821" t="s">
        <v>535</v>
      </c>
      <c r="D172" s="572" t="s">
        <v>345</v>
      </c>
      <c r="E172" s="582"/>
      <c r="F172" s="582"/>
      <c r="G172" s="582"/>
      <c r="H172" s="582"/>
      <c r="I172" s="580">
        <v>1</v>
      </c>
      <c r="J172" s="580">
        <v>2</v>
      </c>
      <c r="K172" s="598">
        <v>2</v>
      </c>
      <c r="L172" s="580">
        <v>3</v>
      </c>
      <c r="M172" s="580">
        <v>3</v>
      </c>
      <c r="N172" s="586">
        <v>4</v>
      </c>
      <c r="O172" s="582">
        <v>4</v>
      </c>
      <c r="P172" s="580">
        <v>4</v>
      </c>
      <c r="Q172" s="580">
        <v>4</v>
      </c>
      <c r="R172" s="580">
        <v>4</v>
      </c>
      <c r="S172" s="580"/>
      <c r="T172" s="581"/>
      <c r="U172" s="580">
        <v>0</v>
      </c>
      <c r="V172" s="580">
        <v>1</v>
      </c>
      <c r="W172" s="580">
        <v>2</v>
      </c>
      <c r="X172" s="580">
        <v>2</v>
      </c>
      <c r="Y172" s="580">
        <v>3</v>
      </c>
      <c r="Z172" s="580">
        <f t="shared" si="46"/>
        <v>3</v>
      </c>
      <c r="AA172" s="581">
        <f t="shared" si="46"/>
        <v>4</v>
      </c>
      <c r="AB172" s="580">
        <f t="shared" si="46"/>
        <v>4</v>
      </c>
      <c r="AC172" s="580">
        <f t="shared" si="46"/>
        <v>4</v>
      </c>
      <c r="AD172" s="580">
        <f t="shared" si="46"/>
        <v>4</v>
      </c>
      <c r="AE172" s="580">
        <f t="shared" si="46"/>
        <v>4</v>
      </c>
      <c r="AF172" s="896" t="s">
        <v>620</v>
      </c>
      <c r="AG172" s="827" t="s">
        <v>621</v>
      </c>
      <c r="AH172" s="824" t="s">
        <v>622</v>
      </c>
      <c r="AI172" s="824" t="s">
        <v>623</v>
      </c>
      <c r="AJ172" s="821" t="s">
        <v>610</v>
      </c>
      <c r="AK172" s="826" t="s">
        <v>490</v>
      </c>
      <c r="AL172" s="826" t="s">
        <v>178</v>
      </c>
      <c r="AM172" s="826" t="s">
        <v>491</v>
      </c>
      <c r="AN172" s="861">
        <v>182943</v>
      </c>
      <c r="AO172" s="820">
        <v>90946</v>
      </c>
      <c r="AP172" s="820">
        <v>91997</v>
      </c>
      <c r="AQ172" s="840" t="s">
        <v>492</v>
      </c>
      <c r="AR172" s="840" t="s">
        <v>492</v>
      </c>
      <c r="AS172" s="840" t="s">
        <v>492</v>
      </c>
      <c r="AT172" s="840" t="s">
        <v>492</v>
      </c>
      <c r="AU172" s="833" t="s">
        <v>492</v>
      </c>
      <c r="AV172" s="833" t="s">
        <v>492</v>
      </c>
      <c r="AW172" s="833" t="s">
        <v>492</v>
      </c>
      <c r="AX172" s="861">
        <v>182943</v>
      </c>
      <c r="AY172" s="584"/>
    </row>
    <row r="173" spans="1:51" ht="19.149999999999999" customHeight="1" x14ac:dyDescent="0.25">
      <c r="A173" s="828"/>
      <c r="B173" s="822"/>
      <c r="C173" s="822"/>
      <c r="D173" s="578" t="s">
        <v>349</v>
      </c>
      <c r="E173" s="582"/>
      <c r="F173" s="582"/>
      <c r="G173" s="582"/>
      <c r="H173" s="582"/>
      <c r="I173" s="580">
        <v>5087307.692307692</v>
      </c>
      <c r="J173" s="580">
        <v>6783076.923076923</v>
      </c>
      <c r="K173" s="580">
        <v>5087307.692307692</v>
      </c>
      <c r="L173" s="580">
        <v>6104769.230769231</v>
      </c>
      <c r="M173" s="580">
        <f>+M172*$Z$143/$Z$142</f>
        <v>5087307.692307692</v>
      </c>
      <c r="N173" s="582">
        <f>+N172*$AA$143/$AA$142</f>
        <v>5814065.9340659343</v>
      </c>
      <c r="O173" s="582">
        <f>+O172*$AB$143/$AB$142</f>
        <v>5087307.692307692</v>
      </c>
      <c r="P173" s="580">
        <f>+P172*$AC$143/$AC$142</f>
        <v>4522051.282051282</v>
      </c>
      <c r="Q173" s="580">
        <f>+Q172*$AD$143/$AD$142</f>
        <v>4165984.2519685039</v>
      </c>
      <c r="R173" s="580">
        <f>+R172*$AE$143/$AE$142</f>
        <v>4516175.1824817518</v>
      </c>
      <c r="S173" s="580"/>
      <c r="T173" s="581"/>
      <c r="U173" s="580">
        <v>0</v>
      </c>
      <c r="V173" s="580">
        <v>5087307.692307692</v>
      </c>
      <c r="W173" s="580">
        <v>6783076.923076923</v>
      </c>
      <c r="X173" s="580">
        <v>5087307.692307692</v>
      </c>
      <c r="Y173" s="580">
        <v>6104769.230769231</v>
      </c>
      <c r="Z173" s="580">
        <f t="shared" si="46"/>
        <v>5087307.692307692</v>
      </c>
      <c r="AA173" s="580">
        <f t="shared" si="46"/>
        <v>5814065.9340659343</v>
      </c>
      <c r="AB173" s="580">
        <f t="shared" si="46"/>
        <v>5087307.692307692</v>
      </c>
      <c r="AC173" s="580">
        <f t="shared" si="46"/>
        <v>4522051.282051282</v>
      </c>
      <c r="AD173" s="580">
        <f t="shared" si="46"/>
        <v>4165984.2519685039</v>
      </c>
      <c r="AE173" s="580">
        <f t="shared" si="46"/>
        <v>4516175.1824817518</v>
      </c>
      <c r="AF173" s="838"/>
      <c r="AG173" s="828"/>
      <c r="AH173" s="822"/>
      <c r="AI173" s="822"/>
      <c r="AJ173" s="822"/>
      <c r="AK173" s="806"/>
      <c r="AL173" s="806"/>
      <c r="AM173" s="806"/>
      <c r="AN173" s="806"/>
      <c r="AO173" s="806"/>
      <c r="AP173" s="806"/>
      <c r="AQ173" s="806"/>
      <c r="AR173" s="806"/>
      <c r="AS173" s="806"/>
      <c r="AT173" s="806"/>
      <c r="AU173" s="806"/>
      <c r="AV173" s="806"/>
      <c r="AW173" s="806"/>
      <c r="AX173" s="806"/>
      <c r="AY173" s="584"/>
    </row>
    <row r="174" spans="1:51" ht="28.9" customHeight="1" x14ac:dyDescent="0.25">
      <c r="A174" s="828"/>
      <c r="B174" s="822"/>
      <c r="C174" s="822"/>
      <c r="D174" s="579" t="s">
        <v>351</v>
      </c>
      <c r="E174" s="582"/>
      <c r="F174" s="582"/>
      <c r="G174" s="582"/>
      <c r="H174" s="582"/>
      <c r="I174" s="580"/>
      <c r="J174" s="580"/>
      <c r="K174" s="598"/>
      <c r="L174" s="580"/>
      <c r="M174" s="580"/>
      <c r="N174" s="586"/>
      <c r="O174" s="582"/>
      <c r="P174" s="580"/>
      <c r="Q174" s="580"/>
      <c r="R174" s="580"/>
      <c r="S174" s="580"/>
      <c r="T174" s="581"/>
      <c r="U174" s="580">
        <v>0</v>
      </c>
      <c r="V174" s="580">
        <v>0</v>
      </c>
      <c r="W174" s="580">
        <v>0</v>
      </c>
      <c r="X174" s="580">
        <v>0</v>
      </c>
      <c r="Y174" s="580">
        <v>0</v>
      </c>
      <c r="Z174" s="580">
        <f t="shared" si="46"/>
        <v>0</v>
      </c>
      <c r="AA174" s="581">
        <f t="shared" si="46"/>
        <v>0</v>
      </c>
      <c r="AB174" s="580">
        <f t="shared" si="46"/>
        <v>0</v>
      </c>
      <c r="AC174" s="580">
        <f t="shared" si="46"/>
        <v>0</v>
      </c>
      <c r="AD174" s="580">
        <f t="shared" si="46"/>
        <v>0</v>
      </c>
      <c r="AE174" s="580">
        <f t="shared" si="46"/>
        <v>0</v>
      </c>
      <c r="AF174" s="838"/>
      <c r="AG174" s="828"/>
      <c r="AH174" s="822"/>
      <c r="AI174" s="822"/>
      <c r="AJ174" s="822"/>
      <c r="AK174" s="806"/>
      <c r="AL174" s="806"/>
      <c r="AM174" s="806"/>
      <c r="AN174" s="806"/>
      <c r="AO174" s="806"/>
      <c r="AP174" s="806"/>
      <c r="AQ174" s="806"/>
      <c r="AR174" s="806"/>
      <c r="AS174" s="806"/>
      <c r="AT174" s="806"/>
      <c r="AU174" s="806"/>
      <c r="AV174" s="806"/>
      <c r="AW174" s="806"/>
      <c r="AX174" s="806"/>
      <c r="AY174" s="584"/>
    </row>
    <row r="175" spans="1:51" ht="28.9" customHeight="1" x14ac:dyDescent="0.25">
      <c r="A175" s="828"/>
      <c r="B175" s="822"/>
      <c r="C175" s="822"/>
      <c r="D175" s="578" t="s">
        <v>352</v>
      </c>
      <c r="E175" s="582"/>
      <c r="F175" s="582"/>
      <c r="G175" s="582"/>
      <c r="H175" s="582"/>
      <c r="I175" s="580"/>
      <c r="J175" s="580"/>
      <c r="K175" s="598"/>
      <c r="L175" s="580"/>
      <c r="M175" s="580"/>
      <c r="N175" s="586"/>
      <c r="O175" s="582"/>
      <c r="P175" s="580"/>
      <c r="Q175" s="580"/>
      <c r="R175" s="580"/>
      <c r="S175" s="580"/>
      <c r="T175" s="581"/>
      <c r="U175" s="580">
        <v>0</v>
      </c>
      <c r="V175" s="580">
        <v>0</v>
      </c>
      <c r="W175" s="580">
        <v>0</v>
      </c>
      <c r="X175" s="580">
        <v>0</v>
      </c>
      <c r="Y175" s="580">
        <v>0</v>
      </c>
      <c r="Z175" s="580">
        <f t="shared" si="46"/>
        <v>0</v>
      </c>
      <c r="AA175" s="581">
        <f t="shared" si="46"/>
        <v>0</v>
      </c>
      <c r="AB175" s="580">
        <f t="shared" si="46"/>
        <v>0</v>
      </c>
      <c r="AC175" s="580">
        <f t="shared" si="46"/>
        <v>0</v>
      </c>
      <c r="AD175" s="580">
        <f t="shared" si="46"/>
        <v>0</v>
      </c>
      <c r="AE175" s="580">
        <f t="shared" si="46"/>
        <v>0</v>
      </c>
      <c r="AF175" s="838"/>
      <c r="AG175" s="828"/>
      <c r="AH175" s="822"/>
      <c r="AI175" s="822"/>
      <c r="AJ175" s="822"/>
      <c r="AK175" s="806"/>
      <c r="AL175" s="806"/>
      <c r="AM175" s="806"/>
      <c r="AN175" s="806"/>
      <c r="AO175" s="806"/>
      <c r="AP175" s="806"/>
      <c r="AQ175" s="806"/>
      <c r="AR175" s="806"/>
      <c r="AS175" s="806"/>
      <c r="AT175" s="806"/>
      <c r="AU175" s="806"/>
      <c r="AV175" s="806"/>
      <c r="AW175" s="806"/>
      <c r="AX175" s="806"/>
      <c r="AY175" s="584"/>
    </row>
    <row r="176" spans="1:51" ht="28.9" customHeight="1" x14ac:dyDescent="0.25">
      <c r="A176" s="828"/>
      <c r="B176" s="822"/>
      <c r="C176" s="822"/>
      <c r="D176" s="579" t="s">
        <v>353</v>
      </c>
      <c r="E176" s="582"/>
      <c r="F176" s="582"/>
      <c r="G176" s="582"/>
      <c r="H176" s="582"/>
      <c r="I176" s="580">
        <v>1</v>
      </c>
      <c r="J176" s="580">
        <v>2</v>
      </c>
      <c r="K176" s="598">
        <v>2</v>
      </c>
      <c r="L176" s="580">
        <v>3</v>
      </c>
      <c r="M176" s="580">
        <v>3</v>
      </c>
      <c r="N176" s="586">
        <v>4</v>
      </c>
      <c r="O176" s="586">
        <v>4</v>
      </c>
      <c r="P176" s="581">
        <v>4</v>
      </c>
      <c r="Q176" s="581">
        <v>4</v>
      </c>
      <c r="R176" s="581">
        <v>4</v>
      </c>
      <c r="S176" s="581"/>
      <c r="T176" s="581"/>
      <c r="U176" s="580">
        <v>0</v>
      </c>
      <c r="V176" s="580">
        <v>1</v>
      </c>
      <c r="W176" s="580">
        <v>2</v>
      </c>
      <c r="X176" s="580">
        <v>2</v>
      </c>
      <c r="Y176" s="580">
        <v>3</v>
      </c>
      <c r="Z176" s="580">
        <f t="shared" si="46"/>
        <v>3</v>
      </c>
      <c r="AA176" s="581">
        <f t="shared" si="46"/>
        <v>4</v>
      </c>
      <c r="AB176" s="580">
        <f t="shared" si="46"/>
        <v>4</v>
      </c>
      <c r="AC176" s="580">
        <f t="shared" si="46"/>
        <v>4</v>
      </c>
      <c r="AD176" s="580">
        <f t="shared" si="46"/>
        <v>4</v>
      </c>
      <c r="AE176" s="581">
        <f t="shared" si="46"/>
        <v>4</v>
      </c>
      <c r="AF176" s="838"/>
      <c r="AG176" s="828"/>
      <c r="AH176" s="822"/>
      <c r="AI176" s="822"/>
      <c r="AJ176" s="822"/>
      <c r="AK176" s="806"/>
      <c r="AL176" s="806"/>
      <c r="AM176" s="806"/>
      <c r="AN176" s="806"/>
      <c r="AO176" s="806"/>
      <c r="AP176" s="806"/>
      <c r="AQ176" s="806"/>
      <c r="AR176" s="806"/>
      <c r="AS176" s="806"/>
      <c r="AT176" s="806"/>
      <c r="AU176" s="806"/>
      <c r="AV176" s="806"/>
      <c r="AW176" s="806"/>
      <c r="AX176" s="806"/>
      <c r="AY176" s="584"/>
    </row>
    <row r="177" spans="1:51" ht="28.9" customHeight="1" x14ac:dyDescent="0.25">
      <c r="A177" s="828"/>
      <c r="B177" s="822"/>
      <c r="C177" s="823"/>
      <c r="D177" s="578" t="s">
        <v>354</v>
      </c>
      <c r="E177" s="582"/>
      <c r="F177" s="582"/>
      <c r="G177" s="582"/>
      <c r="H177" s="582"/>
      <c r="I177" s="580">
        <v>5087307.692307692</v>
      </c>
      <c r="J177" s="580">
        <v>6783076.923076923</v>
      </c>
      <c r="K177" s="580">
        <v>5087307.692307692</v>
      </c>
      <c r="L177" s="580">
        <v>6104769.230769231</v>
      </c>
      <c r="M177" s="580">
        <f t="shared" ref="M177:R177" si="49">+M173+M175</f>
        <v>5087307.692307692</v>
      </c>
      <c r="N177" s="582">
        <f t="shared" si="49"/>
        <v>5814065.9340659343</v>
      </c>
      <c r="O177" s="582">
        <f t="shared" si="49"/>
        <v>5087307.692307692</v>
      </c>
      <c r="P177" s="580">
        <f t="shared" si="49"/>
        <v>4522051.282051282</v>
      </c>
      <c r="Q177" s="580">
        <f t="shared" si="49"/>
        <v>4165984.2519685039</v>
      </c>
      <c r="R177" s="580">
        <f t="shared" si="49"/>
        <v>4516175.1824817518</v>
      </c>
      <c r="S177" s="580"/>
      <c r="T177" s="581"/>
      <c r="U177" s="580">
        <v>0</v>
      </c>
      <c r="V177" s="580">
        <v>5087307.692307692</v>
      </c>
      <c r="W177" s="580">
        <v>6783076.923076923</v>
      </c>
      <c r="X177" s="580">
        <v>5087307.692307692</v>
      </c>
      <c r="Y177" s="580">
        <v>6104769.230769231</v>
      </c>
      <c r="Z177" s="580">
        <f t="shared" si="46"/>
        <v>5087307.692307692</v>
      </c>
      <c r="AA177" s="580">
        <f t="shared" si="46"/>
        <v>5814065.9340659343</v>
      </c>
      <c r="AB177" s="580">
        <f t="shared" si="46"/>
        <v>5087307.692307692</v>
      </c>
      <c r="AC177" s="580">
        <f t="shared" si="46"/>
        <v>4522051.282051282</v>
      </c>
      <c r="AD177" s="580">
        <f t="shared" si="46"/>
        <v>4165984.2519685039</v>
      </c>
      <c r="AE177" s="580">
        <f t="shared" si="46"/>
        <v>4516175.1824817518</v>
      </c>
      <c r="AF177" s="839"/>
      <c r="AG177" s="829"/>
      <c r="AH177" s="823"/>
      <c r="AI177" s="823"/>
      <c r="AJ177" s="823"/>
      <c r="AK177" s="807"/>
      <c r="AL177" s="807"/>
      <c r="AM177" s="807"/>
      <c r="AN177" s="807"/>
      <c r="AO177" s="807"/>
      <c r="AP177" s="807"/>
      <c r="AQ177" s="807"/>
      <c r="AR177" s="807"/>
      <c r="AS177" s="807"/>
      <c r="AT177" s="807"/>
      <c r="AU177" s="807"/>
      <c r="AV177" s="807"/>
      <c r="AW177" s="807"/>
      <c r="AX177" s="807"/>
      <c r="AY177" s="584"/>
    </row>
    <row r="178" spans="1:51" ht="19.149999999999999" customHeight="1" x14ac:dyDescent="0.25">
      <c r="A178" s="828"/>
      <c r="B178" s="822"/>
      <c r="C178" s="821" t="s">
        <v>540</v>
      </c>
      <c r="D178" s="572" t="s">
        <v>345</v>
      </c>
      <c r="E178" s="582"/>
      <c r="F178" s="582"/>
      <c r="G178" s="582"/>
      <c r="H178" s="582">
        <v>1</v>
      </c>
      <c r="I178" s="580">
        <v>1</v>
      </c>
      <c r="J178" s="580">
        <v>3</v>
      </c>
      <c r="K178" s="598">
        <v>4</v>
      </c>
      <c r="L178" s="580">
        <v>5</v>
      </c>
      <c r="M178" s="580">
        <v>5</v>
      </c>
      <c r="N178" s="586">
        <v>5</v>
      </c>
      <c r="O178" s="582">
        <v>5</v>
      </c>
      <c r="P178" s="580">
        <v>5</v>
      </c>
      <c r="Q178" s="580">
        <v>5</v>
      </c>
      <c r="R178" s="580">
        <v>6</v>
      </c>
      <c r="S178" s="580"/>
      <c r="T178" s="581"/>
      <c r="U178" s="580">
        <v>1</v>
      </c>
      <c r="V178" s="580">
        <v>1</v>
      </c>
      <c r="W178" s="580">
        <v>3</v>
      </c>
      <c r="X178" s="580">
        <v>4</v>
      </c>
      <c r="Y178" s="580">
        <v>5</v>
      </c>
      <c r="Z178" s="580">
        <f t="shared" si="46"/>
        <v>5</v>
      </c>
      <c r="AA178" s="581">
        <f t="shared" si="46"/>
        <v>5</v>
      </c>
      <c r="AB178" s="580">
        <f t="shared" si="46"/>
        <v>5</v>
      </c>
      <c r="AC178" s="580">
        <f t="shared" si="46"/>
        <v>5</v>
      </c>
      <c r="AD178" s="580">
        <f t="shared" si="46"/>
        <v>5</v>
      </c>
      <c r="AE178" s="580">
        <f t="shared" si="46"/>
        <v>6</v>
      </c>
      <c r="AF178" s="894" t="s">
        <v>624</v>
      </c>
      <c r="AG178" s="890" t="s">
        <v>540</v>
      </c>
      <c r="AH178" s="824" t="s">
        <v>625</v>
      </c>
      <c r="AI178" s="824" t="s">
        <v>626</v>
      </c>
      <c r="AJ178" s="821" t="s">
        <v>610</v>
      </c>
      <c r="AK178" s="826" t="s">
        <v>490</v>
      </c>
      <c r="AL178" s="826" t="s">
        <v>627</v>
      </c>
      <c r="AM178" s="826" t="s">
        <v>491</v>
      </c>
      <c r="AN178" s="861">
        <v>729781</v>
      </c>
      <c r="AO178" s="861">
        <v>351203</v>
      </c>
      <c r="AP178" s="861">
        <v>378578</v>
      </c>
      <c r="AQ178" s="840" t="s">
        <v>492</v>
      </c>
      <c r="AR178" s="840" t="s">
        <v>492</v>
      </c>
      <c r="AS178" s="840" t="s">
        <v>492</v>
      </c>
      <c r="AT178" s="840" t="s">
        <v>492</v>
      </c>
      <c r="AU178" s="833" t="s">
        <v>492</v>
      </c>
      <c r="AV178" s="833" t="s">
        <v>492</v>
      </c>
      <c r="AW178" s="833" t="s">
        <v>492</v>
      </c>
      <c r="AX178" s="861">
        <v>729781</v>
      </c>
      <c r="AY178" s="584"/>
    </row>
    <row r="179" spans="1:51" ht="19.149999999999999" customHeight="1" x14ac:dyDescent="0.25">
      <c r="A179" s="828"/>
      <c r="B179" s="822"/>
      <c r="C179" s="822"/>
      <c r="D179" s="578" t="s">
        <v>349</v>
      </c>
      <c r="E179" s="582"/>
      <c r="F179" s="582"/>
      <c r="G179" s="582"/>
      <c r="H179" s="582">
        <v>3391538.4615384615</v>
      </c>
      <c r="I179" s="580">
        <v>5087307.692307692</v>
      </c>
      <c r="J179" s="580">
        <v>10174615.384615384</v>
      </c>
      <c r="K179" s="580">
        <v>10174615.384615384</v>
      </c>
      <c r="L179" s="580">
        <v>10174615.384615384</v>
      </c>
      <c r="M179" s="580">
        <f>+M178*$Z$143/$Z$142</f>
        <v>8478846.153846154</v>
      </c>
      <c r="N179" s="582">
        <f>+N178*$AA$143/$AA$142</f>
        <v>7267582.4175824178</v>
      </c>
      <c r="O179" s="582">
        <f>+O178*$AB$143/$AB$142</f>
        <v>6359134.615384615</v>
      </c>
      <c r="P179" s="580">
        <f>+P178*$AC$143/$AC$142</f>
        <v>5652564.102564103</v>
      </c>
      <c r="Q179" s="580">
        <f>+Q178*$AD$143/$AD$142</f>
        <v>5207480.3149606297</v>
      </c>
      <c r="R179" s="580">
        <f>+R178*$AE$143/$AE$142</f>
        <v>6774262.7737226281</v>
      </c>
      <c r="S179" s="580"/>
      <c r="T179" s="580"/>
      <c r="U179" s="580">
        <v>3391538.4615384615</v>
      </c>
      <c r="V179" s="580">
        <v>5087307.692307692</v>
      </c>
      <c r="W179" s="580">
        <v>10174615.384615384</v>
      </c>
      <c r="X179" s="580">
        <v>10174615.384615384</v>
      </c>
      <c r="Y179" s="580">
        <v>10174615.384615384</v>
      </c>
      <c r="Z179" s="580">
        <f t="shared" si="46"/>
        <v>8478846.153846154</v>
      </c>
      <c r="AA179" s="580">
        <f t="shared" si="46"/>
        <v>7267582.4175824178</v>
      </c>
      <c r="AB179" s="580">
        <f t="shared" si="46"/>
        <v>6359134.615384615</v>
      </c>
      <c r="AC179" s="580">
        <f t="shared" si="46"/>
        <v>5652564.102564103</v>
      </c>
      <c r="AD179" s="580">
        <f t="shared" si="46"/>
        <v>5207480.3149606297</v>
      </c>
      <c r="AE179" s="580">
        <f t="shared" si="46"/>
        <v>6774262.7737226281</v>
      </c>
      <c r="AF179" s="822"/>
      <c r="AG179" s="828"/>
      <c r="AH179" s="822"/>
      <c r="AI179" s="822"/>
      <c r="AJ179" s="822"/>
      <c r="AK179" s="806"/>
      <c r="AL179" s="806"/>
      <c r="AM179" s="806"/>
      <c r="AN179" s="806"/>
      <c r="AO179" s="806"/>
      <c r="AP179" s="806"/>
      <c r="AQ179" s="806"/>
      <c r="AR179" s="806"/>
      <c r="AS179" s="806"/>
      <c r="AT179" s="806"/>
      <c r="AU179" s="806"/>
      <c r="AV179" s="806"/>
      <c r="AW179" s="806"/>
      <c r="AX179" s="806"/>
      <c r="AY179" s="584"/>
    </row>
    <row r="180" spans="1:51" ht="28.9" customHeight="1" x14ac:dyDescent="0.25">
      <c r="A180" s="828"/>
      <c r="B180" s="822"/>
      <c r="C180" s="822"/>
      <c r="D180" s="579" t="s">
        <v>351</v>
      </c>
      <c r="E180" s="582"/>
      <c r="F180" s="582"/>
      <c r="G180" s="582"/>
      <c r="H180" s="582"/>
      <c r="I180" s="580"/>
      <c r="J180" s="580"/>
      <c r="K180" s="598"/>
      <c r="L180" s="580"/>
      <c r="M180" s="580"/>
      <c r="N180" s="586"/>
      <c r="O180" s="582"/>
      <c r="P180" s="580"/>
      <c r="Q180" s="580"/>
      <c r="R180" s="580"/>
      <c r="S180" s="580"/>
      <c r="T180" s="581"/>
      <c r="U180" s="580">
        <v>0</v>
      </c>
      <c r="V180" s="580">
        <v>0</v>
      </c>
      <c r="W180" s="580">
        <v>0</v>
      </c>
      <c r="X180" s="580">
        <v>0</v>
      </c>
      <c r="Y180" s="580">
        <v>0</v>
      </c>
      <c r="Z180" s="580">
        <f t="shared" ref="Z180:AE195" si="50">+M180</f>
        <v>0</v>
      </c>
      <c r="AA180" s="581">
        <f t="shared" si="50"/>
        <v>0</v>
      </c>
      <c r="AB180" s="580">
        <f t="shared" si="50"/>
        <v>0</v>
      </c>
      <c r="AC180" s="580">
        <f t="shared" si="50"/>
        <v>0</v>
      </c>
      <c r="AD180" s="580">
        <f t="shared" si="50"/>
        <v>0</v>
      </c>
      <c r="AE180" s="580">
        <f t="shared" si="50"/>
        <v>0</v>
      </c>
      <c r="AF180" s="822"/>
      <c r="AG180" s="828"/>
      <c r="AH180" s="822"/>
      <c r="AI180" s="822"/>
      <c r="AJ180" s="822"/>
      <c r="AK180" s="806"/>
      <c r="AL180" s="806"/>
      <c r="AM180" s="806"/>
      <c r="AN180" s="806"/>
      <c r="AO180" s="806"/>
      <c r="AP180" s="806"/>
      <c r="AQ180" s="806"/>
      <c r="AR180" s="806"/>
      <c r="AS180" s="806"/>
      <c r="AT180" s="806"/>
      <c r="AU180" s="806"/>
      <c r="AV180" s="806"/>
      <c r="AW180" s="806"/>
      <c r="AX180" s="806"/>
      <c r="AY180" s="584"/>
    </row>
    <row r="181" spans="1:51" ht="28.9" customHeight="1" x14ac:dyDescent="0.25">
      <c r="A181" s="828"/>
      <c r="B181" s="822"/>
      <c r="C181" s="822"/>
      <c r="D181" s="578" t="s">
        <v>352</v>
      </c>
      <c r="E181" s="582"/>
      <c r="F181" s="582"/>
      <c r="G181" s="582"/>
      <c r="H181" s="582">
        <v>930788.88888888888</v>
      </c>
      <c r="I181" s="580">
        <v>930788.88888888899</v>
      </c>
      <c r="J181" s="580">
        <v>930788.88888888899</v>
      </c>
      <c r="K181" s="598">
        <v>930788.88888888888</v>
      </c>
      <c r="L181" s="580">
        <v>930788.88888888888</v>
      </c>
      <c r="M181" s="580">
        <v>930788.88888888888</v>
      </c>
      <c r="N181" s="582">
        <v>930788.88888888888</v>
      </c>
      <c r="O181" s="582">
        <v>930788.88888888888</v>
      </c>
      <c r="P181" s="580">
        <v>930788.88888888888</v>
      </c>
      <c r="Q181" s="580">
        <v>930788.88888888888</v>
      </c>
      <c r="R181" s="580">
        <v>930788.88888888888</v>
      </c>
      <c r="S181" s="580"/>
      <c r="T181" s="581"/>
      <c r="U181" s="580">
        <v>930788.88888888888</v>
      </c>
      <c r="V181" s="580">
        <v>930788.88888888899</v>
      </c>
      <c r="W181" s="580">
        <v>930788.88888888899</v>
      </c>
      <c r="X181" s="580">
        <v>930788.88888888888</v>
      </c>
      <c r="Y181" s="580">
        <v>930788.88888888888</v>
      </c>
      <c r="Z181" s="580">
        <f t="shared" si="50"/>
        <v>930788.88888888888</v>
      </c>
      <c r="AA181" s="580">
        <f t="shared" si="50"/>
        <v>930788.88888888888</v>
      </c>
      <c r="AB181" s="580">
        <f t="shared" si="50"/>
        <v>930788.88888888888</v>
      </c>
      <c r="AC181" s="580">
        <f t="shared" si="50"/>
        <v>930788.88888888888</v>
      </c>
      <c r="AD181" s="580">
        <f t="shared" si="50"/>
        <v>930788.88888888888</v>
      </c>
      <c r="AE181" s="580">
        <f t="shared" si="50"/>
        <v>930788.88888888888</v>
      </c>
      <c r="AF181" s="822"/>
      <c r="AG181" s="828"/>
      <c r="AH181" s="822"/>
      <c r="AI181" s="822"/>
      <c r="AJ181" s="822"/>
      <c r="AK181" s="806"/>
      <c r="AL181" s="806"/>
      <c r="AM181" s="806"/>
      <c r="AN181" s="806"/>
      <c r="AO181" s="806"/>
      <c r="AP181" s="806"/>
      <c r="AQ181" s="806"/>
      <c r="AR181" s="806"/>
      <c r="AS181" s="806"/>
      <c r="AT181" s="806"/>
      <c r="AU181" s="806"/>
      <c r="AV181" s="806"/>
      <c r="AW181" s="806"/>
      <c r="AX181" s="806"/>
      <c r="AY181" s="584"/>
    </row>
    <row r="182" spans="1:51" ht="28.9" customHeight="1" x14ac:dyDescent="0.25">
      <c r="A182" s="828"/>
      <c r="B182" s="822"/>
      <c r="C182" s="822"/>
      <c r="D182" s="579" t="s">
        <v>353</v>
      </c>
      <c r="E182" s="582"/>
      <c r="F182" s="582"/>
      <c r="G182" s="582"/>
      <c r="H182" s="582">
        <v>1</v>
      </c>
      <c r="I182" s="580">
        <v>1</v>
      </c>
      <c r="J182" s="580">
        <v>3</v>
      </c>
      <c r="K182" s="598">
        <v>4</v>
      </c>
      <c r="L182" s="580">
        <v>5</v>
      </c>
      <c r="M182" s="580">
        <v>5</v>
      </c>
      <c r="N182" s="586">
        <v>5</v>
      </c>
      <c r="O182" s="586">
        <v>5</v>
      </c>
      <c r="P182" s="581">
        <v>5</v>
      </c>
      <c r="Q182" s="581">
        <v>5</v>
      </c>
      <c r="R182" s="581">
        <v>6</v>
      </c>
      <c r="S182" s="581"/>
      <c r="T182" s="581"/>
      <c r="U182" s="580">
        <v>1</v>
      </c>
      <c r="V182" s="580">
        <v>1</v>
      </c>
      <c r="W182" s="580">
        <v>3</v>
      </c>
      <c r="X182" s="580">
        <v>4</v>
      </c>
      <c r="Y182" s="580">
        <v>5</v>
      </c>
      <c r="Z182" s="580">
        <f t="shared" si="50"/>
        <v>5</v>
      </c>
      <c r="AA182" s="581">
        <f t="shared" si="50"/>
        <v>5</v>
      </c>
      <c r="AB182" s="580">
        <f t="shared" si="50"/>
        <v>5</v>
      </c>
      <c r="AC182" s="580">
        <f t="shared" si="50"/>
        <v>5</v>
      </c>
      <c r="AD182" s="580">
        <f t="shared" si="50"/>
        <v>5</v>
      </c>
      <c r="AE182" s="581">
        <f t="shared" si="50"/>
        <v>6</v>
      </c>
      <c r="AF182" s="822"/>
      <c r="AG182" s="828"/>
      <c r="AH182" s="822"/>
      <c r="AI182" s="822"/>
      <c r="AJ182" s="822"/>
      <c r="AK182" s="806"/>
      <c r="AL182" s="806"/>
      <c r="AM182" s="806"/>
      <c r="AN182" s="806"/>
      <c r="AO182" s="806"/>
      <c r="AP182" s="806"/>
      <c r="AQ182" s="806"/>
      <c r="AR182" s="806"/>
      <c r="AS182" s="806"/>
      <c r="AT182" s="806"/>
      <c r="AU182" s="806"/>
      <c r="AV182" s="806"/>
      <c r="AW182" s="806"/>
      <c r="AX182" s="806"/>
      <c r="AY182" s="584"/>
    </row>
    <row r="183" spans="1:51" ht="28.9" customHeight="1" x14ac:dyDescent="0.25">
      <c r="A183" s="828"/>
      <c r="B183" s="822"/>
      <c r="C183" s="823"/>
      <c r="D183" s="578" t="s">
        <v>354</v>
      </c>
      <c r="E183" s="582"/>
      <c r="F183" s="582"/>
      <c r="G183" s="582"/>
      <c r="H183" s="582">
        <v>4322327.35042735</v>
      </c>
      <c r="I183" s="580">
        <v>6018096.581196581</v>
      </c>
      <c r="J183" s="580">
        <v>11105404.273504272</v>
      </c>
      <c r="K183" s="580">
        <v>11105404.273504272</v>
      </c>
      <c r="L183" s="580">
        <v>11105404.273504272</v>
      </c>
      <c r="M183" s="580">
        <f t="shared" ref="M183:R183" si="51">+M179+M181</f>
        <v>9409635.0427350421</v>
      </c>
      <c r="N183" s="582">
        <f t="shared" si="51"/>
        <v>8198371.3064713068</v>
      </c>
      <c r="O183" s="582">
        <f t="shared" si="51"/>
        <v>7289923.504273504</v>
      </c>
      <c r="P183" s="580">
        <f t="shared" si="51"/>
        <v>6583352.991452992</v>
      </c>
      <c r="Q183" s="580">
        <f t="shared" si="51"/>
        <v>6138269.2038495187</v>
      </c>
      <c r="R183" s="580">
        <f t="shared" si="51"/>
        <v>7705051.6626115171</v>
      </c>
      <c r="S183" s="580"/>
      <c r="T183" s="580"/>
      <c r="U183" s="580">
        <v>4322327.35042735</v>
      </c>
      <c r="V183" s="580">
        <v>6018096.581196581</v>
      </c>
      <c r="W183" s="580">
        <v>11105404.273504272</v>
      </c>
      <c r="X183" s="580">
        <v>11105404.273504272</v>
      </c>
      <c r="Y183" s="580">
        <v>11105404.273504272</v>
      </c>
      <c r="Z183" s="580">
        <f t="shared" si="50"/>
        <v>9409635.0427350421</v>
      </c>
      <c r="AA183" s="580">
        <f t="shared" si="50"/>
        <v>8198371.3064713068</v>
      </c>
      <c r="AB183" s="580">
        <f t="shared" si="50"/>
        <v>7289923.504273504</v>
      </c>
      <c r="AC183" s="580">
        <f t="shared" si="50"/>
        <v>6583352.991452992</v>
      </c>
      <c r="AD183" s="580">
        <f t="shared" si="50"/>
        <v>6138269.2038495187</v>
      </c>
      <c r="AE183" s="580">
        <f t="shared" si="50"/>
        <v>7705051.6626115171</v>
      </c>
      <c r="AF183" s="823"/>
      <c r="AG183" s="829"/>
      <c r="AH183" s="823"/>
      <c r="AI183" s="823"/>
      <c r="AJ183" s="823"/>
      <c r="AK183" s="807"/>
      <c r="AL183" s="807"/>
      <c r="AM183" s="807"/>
      <c r="AN183" s="807"/>
      <c r="AO183" s="807"/>
      <c r="AP183" s="807"/>
      <c r="AQ183" s="807"/>
      <c r="AR183" s="807"/>
      <c r="AS183" s="807"/>
      <c r="AT183" s="807"/>
      <c r="AU183" s="807"/>
      <c r="AV183" s="807"/>
      <c r="AW183" s="807"/>
      <c r="AX183" s="807"/>
      <c r="AY183" s="584"/>
    </row>
    <row r="184" spans="1:51" ht="19.149999999999999" customHeight="1" x14ac:dyDescent="0.25">
      <c r="A184" s="828"/>
      <c r="B184" s="822"/>
      <c r="C184" s="821" t="s">
        <v>628</v>
      </c>
      <c r="D184" s="572" t="s">
        <v>345</v>
      </c>
      <c r="E184" s="582"/>
      <c r="F184" s="582"/>
      <c r="G184" s="582"/>
      <c r="H184" s="582"/>
      <c r="I184" s="580"/>
      <c r="J184" s="580">
        <v>1</v>
      </c>
      <c r="K184" s="598">
        <v>2</v>
      </c>
      <c r="L184" s="580">
        <v>4</v>
      </c>
      <c r="M184" s="580">
        <v>5</v>
      </c>
      <c r="N184" s="586">
        <v>6</v>
      </c>
      <c r="O184" s="582">
        <v>7</v>
      </c>
      <c r="P184" s="580">
        <v>7</v>
      </c>
      <c r="Q184" s="580">
        <v>8</v>
      </c>
      <c r="R184" s="580">
        <v>8</v>
      </c>
      <c r="S184" s="580"/>
      <c r="T184" s="581"/>
      <c r="U184" s="580">
        <v>0</v>
      </c>
      <c r="V184" s="580">
        <v>0</v>
      </c>
      <c r="W184" s="580">
        <v>1</v>
      </c>
      <c r="X184" s="580">
        <v>2</v>
      </c>
      <c r="Y184" s="580">
        <v>4</v>
      </c>
      <c r="Z184" s="580">
        <f t="shared" si="50"/>
        <v>5</v>
      </c>
      <c r="AA184" s="581">
        <f t="shared" si="50"/>
        <v>6</v>
      </c>
      <c r="AB184" s="580">
        <f t="shared" si="50"/>
        <v>7</v>
      </c>
      <c r="AC184" s="580">
        <f t="shared" si="50"/>
        <v>7</v>
      </c>
      <c r="AD184" s="580">
        <f t="shared" si="50"/>
        <v>8</v>
      </c>
      <c r="AE184" s="580">
        <f t="shared" si="50"/>
        <v>8</v>
      </c>
      <c r="AF184" s="894" t="s">
        <v>629</v>
      </c>
      <c r="AG184" s="827" t="s">
        <v>630</v>
      </c>
      <c r="AH184" s="824" t="s">
        <v>631</v>
      </c>
      <c r="AI184" s="824" t="s">
        <v>632</v>
      </c>
      <c r="AJ184" s="821" t="s">
        <v>610</v>
      </c>
      <c r="AK184" s="826" t="s">
        <v>490</v>
      </c>
      <c r="AL184" s="826" t="s">
        <v>633</v>
      </c>
      <c r="AM184" s="826" t="s">
        <v>491</v>
      </c>
      <c r="AN184" s="820">
        <v>1035224</v>
      </c>
      <c r="AO184" s="820">
        <v>501861</v>
      </c>
      <c r="AP184" s="861">
        <v>533363</v>
      </c>
      <c r="AQ184" s="840" t="s">
        <v>492</v>
      </c>
      <c r="AR184" s="840" t="s">
        <v>492</v>
      </c>
      <c r="AS184" s="840" t="s">
        <v>492</v>
      </c>
      <c r="AT184" s="840" t="s">
        <v>492</v>
      </c>
      <c r="AU184" s="833" t="s">
        <v>492</v>
      </c>
      <c r="AV184" s="833" t="s">
        <v>492</v>
      </c>
      <c r="AW184" s="833" t="s">
        <v>492</v>
      </c>
      <c r="AX184" s="820">
        <v>1034293</v>
      </c>
      <c r="AY184" s="584"/>
    </row>
    <row r="185" spans="1:51" ht="19.149999999999999" customHeight="1" x14ac:dyDescent="0.25">
      <c r="A185" s="828"/>
      <c r="B185" s="822"/>
      <c r="C185" s="822"/>
      <c r="D185" s="578" t="s">
        <v>349</v>
      </c>
      <c r="E185" s="582"/>
      <c r="F185" s="582"/>
      <c r="G185" s="582"/>
      <c r="H185" s="582"/>
      <c r="I185" s="580"/>
      <c r="J185" s="580">
        <v>3391538.4615384615</v>
      </c>
      <c r="K185" s="580">
        <v>5087307.692307692</v>
      </c>
      <c r="L185" s="580">
        <v>8139692.307692308</v>
      </c>
      <c r="M185" s="580">
        <f>+M184*$Z$143/$Z$142</f>
        <v>8478846.153846154</v>
      </c>
      <c r="N185" s="582">
        <f>+N184*$AA$143/$AA$142</f>
        <v>8721098.9010989014</v>
      </c>
      <c r="O185" s="582">
        <f>+O184*$AB$143/$AB$142</f>
        <v>8902788.461538462</v>
      </c>
      <c r="P185" s="580">
        <f>+P184*$AC$143/$AC$142</f>
        <v>7913589.743589744</v>
      </c>
      <c r="Q185" s="580">
        <f>+Q184*$AD$143/$AD$142</f>
        <v>8331968.5039370079</v>
      </c>
      <c r="R185" s="580">
        <f>+R184*$AE$143/$AE$142</f>
        <v>9032350.3649635036</v>
      </c>
      <c r="S185" s="580"/>
      <c r="T185" s="581"/>
      <c r="U185" s="580">
        <v>0</v>
      </c>
      <c r="V185" s="580">
        <v>0</v>
      </c>
      <c r="W185" s="580">
        <v>3391538.4615384615</v>
      </c>
      <c r="X185" s="580">
        <v>5087307.692307692</v>
      </c>
      <c r="Y185" s="580">
        <v>8139692.307692308</v>
      </c>
      <c r="Z185" s="580">
        <f t="shared" si="50"/>
        <v>8478846.153846154</v>
      </c>
      <c r="AA185" s="580">
        <f t="shared" si="50"/>
        <v>8721098.9010989014</v>
      </c>
      <c r="AB185" s="580">
        <f t="shared" si="50"/>
        <v>8902788.461538462</v>
      </c>
      <c r="AC185" s="580">
        <f t="shared" si="50"/>
        <v>7913589.743589744</v>
      </c>
      <c r="AD185" s="580">
        <f t="shared" si="50"/>
        <v>8331968.5039370079</v>
      </c>
      <c r="AE185" s="580">
        <f t="shared" si="50"/>
        <v>9032350.3649635036</v>
      </c>
      <c r="AF185" s="822"/>
      <c r="AG185" s="828"/>
      <c r="AH185" s="822"/>
      <c r="AI185" s="822"/>
      <c r="AJ185" s="822"/>
      <c r="AK185" s="806"/>
      <c r="AL185" s="806"/>
      <c r="AM185" s="806"/>
      <c r="AN185" s="806"/>
      <c r="AO185" s="806"/>
      <c r="AP185" s="806"/>
      <c r="AQ185" s="806"/>
      <c r="AR185" s="806"/>
      <c r="AS185" s="806"/>
      <c r="AT185" s="806"/>
      <c r="AU185" s="806"/>
      <c r="AV185" s="806"/>
      <c r="AW185" s="806"/>
      <c r="AX185" s="806"/>
      <c r="AY185" s="584"/>
    </row>
    <row r="186" spans="1:51" ht="28.9" customHeight="1" x14ac:dyDescent="0.25">
      <c r="A186" s="828"/>
      <c r="B186" s="822"/>
      <c r="C186" s="822"/>
      <c r="D186" s="579" t="s">
        <v>351</v>
      </c>
      <c r="E186" s="582"/>
      <c r="F186" s="582"/>
      <c r="G186" s="582"/>
      <c r="H186" s="582"/>
      <c r="I186" s="580"/>
      <c r="J186" s="580"/>
      <c r="K186" s="598"/>
      <c r="L186" s="580"/>
      <c r="M186" s="580"/>
      <c r="N186" s="586"/>
      <c r="O186" s="582"/>
      <c r="P186" s="580"/>
      <c r="Q186" s="580"/>
      <c r="R186" s="580"/>
      <c r="S186" s="580"/>
      <c r="T186" s="581"/>
      <c r="U186" s="580">
        <v>0</v>
      </c>
      <c r="V186" s="580">
        <v>0</v>
      </c>
      <c r="W186" s="580">
        <v>0</v>
      </c>
      <c r="X186" s="580">
        <v>0</v>
      </c>
      <c r="Y186" s="580">
        <v>0</v>
      </c>
      <c r="Z186" s="580">
        <f t="shared" si="50"/>
        <v>0</v>
      </c>
      <c r="AA186" s="581">
        <f t="shared" si="50"/>
        <v>0</v>
      </c>
      <c r="AB186" s="580">
        <f t="shared" si="50"/>
        <v>0</v>
      </c>
      <c r="AC186" s="580">
        <f t="shared" si="50"/>
        <v>0</v>
      </c>
      <c r="AD186" s="580">
        <f t="shared" si="50"/>
        <v>0</v>
      </c>
      <c r="AE186" s="580">
        <f t="shared" si="50"/>
        <v>0</v>
      </c>
      <c r="AF186" s="822"/>
      <c r="AG186" s="828"/>
      <c r="AH186" s="822"/>
      <c r="AI186" s="822"/>
      <c r="AJ186" s="822"/>
      <c r="AK186" s="806"/>
      <c r="AL186" s="806"/>
      <c r="AM186" s="806"/>
      <c r="AN186" s="806"/>
      <c r="AO186" s="806"/>
      <c r="AP186" s="806"/>
      <c r="AQ186" s="806"/>
      <c r="AR186" s="806"/>
      <c r="AS186" s="806"/>
      <c r="AT186" s="806"/>
      <c r="AU186" s="806"/>
      <c r="AV186" s="806"/>
      <c r="AW186" s="806"/>
      <c r="AX186" s="806"/>
      <c r="AY186" s="584"/>
    </row>
    <row r="187" spans="1:51" ht="28.9" customHeight="1" x14ac:dyDescent="0.25">
      <c r="A187" s="828"/>
      <c r="B187" s="822"/>
      <c r="C187" s="822"/>
      <c r="D187" s="578" t="s">
        <v>352</v>
      </c>
      <c r="E187" s="582"/>
      <c r="F187" s="582"/>
      <c r="G187" s="582"/>
      <c r="H187" s="582"/>
      <c r="I187" s="580"/>
      <c r="J187" s="580"/>
      <c r="K187" s="598"/>
      <c r="L187" s="580"/>
      <c r="M187" s="580"/>
      <c r="N187" s="586"/>
      <c r="O187" s="582"/>
      <c r="P187" s="580"/>
      <c r="Q187" s="580"/>
      <c r="R187" s="580"/>
      <c r="S187" s="580"/>
      <c r="T187" s="581"/>
      <c r="U187" s="580">
        <v>0</v>
      </c>
      <c r="V187" s="580">
        <v>0</v>
      </c>
      <c r="W187" s="580">
        <v>0</v>
      </c>
      <c r="X187" s="580">
        <v>0</v>
      </c>
      <c r="Y187" s="580">
        <v>0</v>
      </c>
      <c r="Z187" s="580">
        <f t="shared" si="50"/>
        <v>0</v>
      </c>
      <c r="AA187" s="581">
        <f t="shared" si="50"/>
        <v>0</v>
      </c>
      <c r="AB187" s="580">
        <f t="shared" si="50"/>
        <v>0</v>
      </c>
      <c r="AC187" s="580">
        <f t="shared" si="50"/>
        <v>0</v>
      </c>
      <c r="AD187" s="580">
        <f t="shared" si="50"/>
        <v>0</v>
      </c>
      <c r="AE187" s="580">
        <f t="shared" si="50"/>
        <v>0</v>
      </c>
      <c r="AF187" s="822"/>
      <c r="AG187" s="828"/>
      <c r="AH187" s="822"/>
      <c r="AI187" s="822"/>
      <c r="AJ187" s="822"/>
      <c r="AK187" s="806"/>
      <c r="AL187" s="806"/>
      <c r="AM187" s="806"/>
      <c r="AN187" s="806"/>
      <c r="AO187" s="806"/>
      <c r="AP187" s="806"/>
      <c r="AQ187" s="806"/>
      <c r="AR187" s="806"/>
      <c r="AS187" s="806"/>
      <c r="AT187" s="806"/>
      <c r="AU187" s="806"/>
      <c r="AV187" s="806"/>
      <c r="AW187" s="806"/>
      <c r="AX187" s="806"/>
      <c r="AY187" s="584"/>
    </row>
    <row r="188" spans="1:51" ht="28.9" customHeight="1" x14ac:dyDescent="0.25">
      <c r="A188" s="828"/>
      <c r="B188" s="822"/>
      <c r="C188" s="822"/>
      <c r="D188" s="579" t="s">
        <v>353</v>
      </c>
      <c r="E188" s="582"/>
      <c r="F188" s="582"/>
      <c r="G188" s="582"/>
      <c r="H188" s="582"/>
      <c r="I188" s="580"/>
      <c r="J188" s="580">
        <v>1</v>
      </c>
      <c r="K188" s="598">
        <v>2</v>
      </c>
      <c r="L188" s="580">
        <v>4</v>
      </c>
      <c r="M188" s="580">
        <v>5</v>
      </c>
      <c r="N188" s="586">
        <v>6</v>
      </c>
      <c r="O188" s="586">
        <v>7</v>
      </c>
      <c r="P188" s="581">
        <v>7</v>
      </c>
      <c r="Q188" s="581">
        <v>8</v>
      </c>
      <c r="R188" s="581">
        <v>8</v>
      </c>
      <c r="S188" s="581"/>
      <c r="T188" s="581"/>
      <c r="U188" s="580">
        <v>0</v>
      </c>
      <c r="V188" s="580">
        <v>0</v>
      </c>
      <c r="W188" s="580">
        <v>1</v>
      </c>
      <c r="X188" s="580">
        <v>2</v>
      </c>
      <c r="Y188" s="580">
        <v>4</v>
      </c>
      <c r="Z188" s="580">
        <f t="shared" si="50"/>
        <v>5</v>
      </c>
      <c r="AA188" s="581">
        <f t="shared" si="50"/>
        <v>6</v>
      </c>
      <c r="AB188" s="580">
        <f t="shared" si="50"/>
        <v>7</v>
      </c>
      <c r="AC188" s="580">
        <f t="shared" si="50"/>
        <v>7</v>
      </c>
      <c r="AD188" s="580">
        <f t="shared" si="50"/>
        <v>8</v>
      </c>
      <c r="AE188" s="581">
        <f t="shared" si="50"/>
        <v>8</v>
      </c>
      <c r="AF188" s="822"/>
      <c r="AG188" s="828"/>
      <c r="AH188" s="822"/>
      <c r="AI188" s="822"/>
      <c r="AJ188" s="822"/>
      <c r="AK188" s="806"/>
      <c r="AL188" s="806"/>
      <c r="AM188" s="806"/>
      <c r="AN188" s="806"/>
      <c r="AO188" s="806"/>
      <c r="AP188" s="806"/>
      <c r="AQ188" s="806"/>
      <c r="AR188" s="806"/>
      <c r="AS188" s="806"/>
      <c r="AT188" s="806"/>
      <c r="AU188" s="806"/>
      <c r="AV188" s="806"/>
      <c r="AW188" s="806"/>
      <c r="AX188" s="806"/>
      <c r="AY188" s="584"/>
    </row>
    <row r="189" spans="1:51" ht="28.9" customHeight="1" x14ac:dyDescent="0.25">
      <c r="A189" s="828"/>
      <c r="B189" s="822"/>
      <c r="C189" s="823"/>
      <c r="D189" s="578" t="s">
        <v>354</v>
      </c>
      <c r="E189" s="582"/>
      <c r="F189" s="582"/>
      <c r="G189" s="582"/>
      <c r="H189" s="582"/>
      <c r="I189" s="580"/>
      <c r="J189" s="580">
        <v>3391538.4615384615</v>
      </c>
      <c r="K189" s="580">
        <v>5087307.692307692</v>
      </c>
      <c r="L189" s="580">
        <v>8139692.307692308</v>
      </c>
      <c r="M189" s="580">
        <f t="shared" ref="M189:R189" si="52">+M185+M187</f>
        <v>8478846.153846154</v>
      </c>
      <c r="N189" s="582">
        <f t="shared" si="52"/>
        <v>8721098.9010989014</v>
      </c>
      <c r="O189" s="582">
        <f t="shared" si="52"/>
        <v>8902788.461538462</v>
      </c>
      <c r="P189" s="580">
        <f t="shared" si="52"/>
        <v>7913589.743589744</v>
      </c>
      <c r="Q189" s="580">
        <f t="shared" si="52"/>
        <v>8331968.5039370079</v>
      </c>
      <c r="R189" s="580">
        <f t="shared" si="52"/>
        <v>9032350.3649635036</v>
      </c>
      <c r="S189" s="580"/>
      <c r="T189" s="581"/>
      <c r="U189" s="580">
        <v>0</v>
      </c>
      <c r="V189" s="580">
        <v>0</v>
      </c>
      <c r="W189" s="580">
        <v>3391538.4615384615</v>
      </c>
      <c r="X189" s="580">
        <v>5087307.692307692</v>
      </c>
      <c r="Y189" s="580">
        <v>8139692.307692308</v>
      </c>
      <c r="Z189" s="580">
        <f t="shared" si="50"/>
        <v>8478846.153846154</v>
      </c>
      <c r="AA189" s="580">
        <f t="shared" si="50"/>
        <v>8721098.9010989014</v>
      </c>
      <c r="AB189" s="580">
        <f t="shared" si="50"/>
        <v>8902788.461538462</v>
      </c>
      <c r="AC189" s="580">
        <f t="shared" si="50"/>
        <v>7913589.743589744</v>
      </c>
      <c r="AD189" s="580">
        <f t="shared" si="50"/>
        <v>8331968.5039370079</v>
      </c>
      <c r="AE189" s="580">
        <f t="shared" si="50"/>
        <v>9032350.3649635036</v>
      </c>
      <c r="AF189" s="823"/>
      <c r="AG189" s="829"/>
      <c r="AH189" s="823"/>
      <c r="AI189" s="823"/>
      <c r="AJ189" s="823"/>
      <c r="AK189" s="807"/>
      <c r="AL189" s="807"/>
      <c r="AM189" s="807"/>
      <c r="AN189" s="807"/>
      <c r="AO189" s="807"/>
      <c r="AP189" s="807"/>
      <c r="AQ189" s="807"/>
      <c r="AR189" s="807"/>
      <c r="AS189" s="807"/>
      <c r="AT189" s="807"/>
      <c r="AU189" s="807"/>
      <c r="AV189" s="807"/>
      <c r="AW189" s="807"/>
      <c r="AX189" s="807"/>
      <c r="AY189" s="584"/>
    </row>
    <row r="190" spans="1:51" ht="19.149999999999999" customHeight="1" x14ac:dyDescent="0.25">
      <c r="A190" s="828"/>
      <c r="B190" s="822"/>
      <c r="C190" s="821" t="s">
        <v>634</v>
      </c>
      <c r="D190" s="572" t="s">
        <v>345</v>
      </c>
      <c r="E190" s="582"/>
      <c r="F190" s="582"/>
      <c r="G190" s="582"/>
      <c r="H190" s="582"/>
      <c r="I190" s="580"/>
      <c r="J190" s="580"/>
      <c r="K190" s="598">
        <v>1</v>
      </c>
      <c r="L190" s="580">
        <v>2</v>
      </c>
      <c r="M190" s="580">
        <v>3</v>
      </c>
      <c r="N190" s="586">
        <v>4</v>
      </c>
      <c r="O190" s="582">
        <v>5</v>
      </c>
      <c r="P190" s="580">
        <v>8</v>
      </c>
      <c r="Q190" s="580">
        <v>8</v>
      </c>
      <c r="R190" s="580">
        <v>9</v>
      </c>
      <c r="S190" s="580"/>
      <c r="T190" s="581"/>
      <c r="U190" s="580">
        <v>0</v>
      </c>
      <c r="V190" s="580">
        <v>0</v>
      </c>
      <c r="W190" s="580">
        <v>0</v>
      </c>
      <c r="X190" s="580">
        <v>1</v>
      </c>
      <c r="Y190" s="580">
        <v>2</v>
      </c>
      <c r="Z190" s="580">
        <f t="shared" si="50"/>
        <v>3</v>
      </c>
      <c r="AA190" s="581">
        <f t="shared" si="50"/>
        <v>4</v>
      </c>
      <c r="AB190" s="580">
        <f t="shared" si="50"/>
        <v>5</v>
      </c>
      <c r="AC190" s="580">
        <f t="shared" si="50"/>
        <v>8</v>
      </c>
      <c r="AD190" s="580">
        <f t="shared" si="50"/>
        <v>8</v>
      </c>
      <c r="AE190" s="580">
        <f t="shared" si="50"/>
        <v>9</v>
      </c>
      <c r="AF190" s="894" t="s">
        <v>635</v>
      </c>
      <c r="AG190" s="890" t="s">
        <v>636</v>
      </c>
      <c r="AH190" s="824" t="s">
        <v>637</v>
      </c>
      <c r="AI190" s="824" t="s">
        <v>638</v>
      </c>
      <c r="AJ190" s="821" t="s">
        <v>610</v>
      </c>
      <c r="AK190" s="826" t="s">
        <v>490</v>
      </c>
      <c r="AL190" s="826" t="s">
        <v>639</v>
      </c>
      <c r="AM190" s="826" t="s">
        <v>491</v>
      </c>
      <c r="AN190" s="820">
        <v>404252</v>
      </c>
      <c r="AO190" s="820">
        <v>188605</v>
      </c>
      <c r="AP190" s="861">
        <v>215647</v>
      </c>
      <c r="AQ190" s="840" t="s">
        <v>492</v>
      </c>
      <c r="AR190" s="840" t="s">
        <v>492</v>
      </c>
      <c r="AS190" s="840" t="s">
        <v>492</v>
      </c>
      <c r="AT190" s="840" t="s">
        <v>492</v>
      </c>
      <c r="AU190" s="833" t="s">
        <v>492</v>
      </c>
      <c r="AV190" s="833" t="s">
        <v>492</v>
      </c>
      <c r="AW190" s="833" t="s">
        <v>492</v>
      </c>
      <c r="AX190" s="820">
        <v>399020</v>
      </c>
      <c r="AY190" s="584"/>
    </row>
    <row r="191" spans="1:51" ht="19.149999999999999" customHeight="1" x14ac:dyDescent="0.25">
      <c r="A191" s="828"/>
      <c r="B191" s="822"/>
      <c r="C191" s="822"/>
      <c r="D191" s="578" t="s">
        <v>349</v>
      </c>
      <c r="E191" s="582"/>
      <c r="F191" s="582"/>
      <c r="G191" s="582"/>
      <c r="H191" s="582"/>
      <c r="I191" s="580"/>
      <c r="J191" s="580"/>
      <c r="K191" s="580">
        <v>2543653.846153846</v>
      </c>
      <c r="L191" s="580">
        <v>4069846.153846154</v>
      </c>
      <c r="M191" s="580">
        <f>+M190*$Z$143/$Z$142</f>
        <v>5087307.692307692</v>
      </c>
      <c r="N191" s="582">
        <f>+N190*$AA$143/$AA$142</f>
        <v>5814065.9340659343</v>
      </c>
      <c r="O191" s="582">
        <f>+O190*$AB$143/$AB$142</f>
        <v>6359134.615384615</v>
      </c>
      <c r="P191" s="580">
        <f>+P190*$AC$143/$AC$142</f>
        <v>9044102.564102564</v>
      </c>
      <c r="Q191" s="580">
        <f>+Q190*$AD$143/$AD$142</f>
        <v>8331968.5039370079</v>
      </c>
      <c r="R191" s="580">
        <f>+R190*$AE$143/$AE$142</f>
        <v>10161394.160583941</v>
      </c>
      <c r="S191" s="580"/>
      <c r="T191" s="581"/>
      <c r="U191" s="580">
        <v>0</v>
      </c>
      <c r="V191" s="580">
        <v>0</v>
      </c>
      <c r="W191" s="580">
        <v>0</v>
      </c>
      <c r="X191" s="580">
        <v>2543653.846153846</v>
      </c>
      <c r="Y191" s="580">
        <v>4069846.153846154</v>
      </c>
      <c r="Z191" s="580">
        <f t="shared" si="50"/>
        <v>5087307.692307692</v>
      </c>
      <c r="AA191" s="580">
        <f t="shared" si="50"/>
        <v>5814065.9340659343</v>
      </c>
      <c r="AB191" s="580">
        <f t="shared" si="50"/>
        <v>6359134.615384615</v>
      </c>
      <c r="AC191" s="580">
        <f t="shared" si="50"/>
        <v>9044102.564102564</v>
      </c>
      <c r="AD191" s="580">
        <f t="shared" si="50"/>
        <v>8331968.5039370079</v>
      </c>
      <c r="AE191" s="580">
        <f t="shared" si="50"/>
        <v>10161394.160583941</v>
      </c>
      <c r="AF191" s="822"/>
      <c r="AG191" s="828"/>
      <c r="AH191" s="822"/>
      <c r="AI191" s="822"/>
      <c r="AJ191" s="822"/>
      <c r="AK191" s="806"/>
      <c r="AL191" s="806"/>
      <c r="AM191" s="806"/>
      <c r="AN191" s="806"/>
      <c r="AO191" s="806"/>
      <c r="AP191" s="806"/>
      <c r="AQ191" s="806"/>
      <c r="AR191" s="806"/>
      <c r="AS191" s="806"/>
      <c r="AT191" s="806"/>
      <c r="AU191" s="806"/>
      <c r="AV191" s="806"/>
      <c r="AW191" s="806"/>
      <c r="AX191" s="806"/>
      <c r="AY191" s="584"/>
    </row>
    <row r="192" spans="1:51" ht="28.9" customHeight="1" x14ac:dyDescent="0.25">
      <c r="A192" s="828"/>
      <c r="B192" s="822"/>
      <c r="C192" s="822"/>
      <c r="D192" s="579" t="s">
        <v>351</v>
      </c>
      <c r="E192" s="582"/>
      <c r="F192" s="582"/>
      <c r="G192" s="582"/>
      <c r="H192" s="582"/>
      <c r="I192" s="580"/>
      <c r="J192" s="580"/>
      <c r="K192" s="598"/>
      <c r="L192" s="580"/>
      <c r="M192" s="580"/>
      <c r="N192" s="586"/>
      <c r="O192" s="582"/>
      <c r="P192" s="580"/>
      <c r="Q192" s="580"/>
      <c r="R192" s="580"/>
      <c r="S192" s="580"/>
      <c r="T192" s="581"/>
      <c r="U192" s="580">
        <v>0</v>
      </c>
      <c r="V192" s="580">
        <v>0</v>
      </c>
      <c r="W192" s="580">
        <v>0</v>
      </c>
      <c r="X192" s="580">
        <v>0</v>
      </c>
      <c r="Y192" s="580">
        <v>0</v>
      </c>
      <c r="Z192" s="580">
        <f t="shared" si="50"/>
        <v>0</v>
      </c>
      <c r="AA192" s="581">
        <f t="shared" si="50"/>
        <v>0</v>
      </c>
      <c r="AB192" s="580">
        <f t="shared" si="50"/>
        <v>0</v>
      </c>
      <c r="AC192" s="580">
        <f t="shared" si="50"/>
        <v>0</v>
      </c>
      <c r="AD192" s="580">
        <f t="shared" si="50"/>
        <v>0</v>
      </c>
      <c r="AE192" s="580">
        <f t="shared" si="50"/>
        <v>0</v>
      </c>
      <c r="AF192" s="822"/>
      <c r="AG192" s="828"/>
      <c r="AH192" s="822"/>
      <c r="AI192" s="822"/>
      <c r="AJ192" s="822"/>
      <c r="AK192" s="806"/>
      <c r="AL192" s="806"/>
      <c r="AM192" s="806"/>
      <c r="AN192" s="806"/>
      <c r="AO192" s="806"/>
      <c r="AP192" s="806"/>
      <c r="AQ192" s="806"/>
      <c r="AR192" s="806"/>
      <c r="AS192" s="806"/>
      <c r="AT192" s="806"/>
      <c r="AU192" s="806"/>
      <c r="AV192" s="806"/>
      <c r="AW192" s="806"/>
      <c r="AX192" s="806"/>
      <c r="AY192" s="584"/>
    </row>
    <row r="193" spans="1:51" ht="28.9" customHeight="1" x14ac:dyDescent="0.25">
      <c r="A193" s="828"/>
      <c r="B193" s="822"/>
      <c r="C193" s="822"/>
      <c r="D193" s="578" t="s">
        <v>352</v>
      </c>
      <c r="E193" s="582"/>
      <c r="F193" s="582"/>
      <c r="G193" s="582"/>
      <c r="H193" s="582"/>
      <c r="I193" s="580"/>
      <c r="J193" s="580"/>
      <c r="K193" s="598"/>
      <c r="L193" s="580"/>
      <c r="M193" s="580"/>
      <c r="N193" s="582"/>
      <c r="O193" s="582"/>
      <c r="P193" s="580"/>
      <c r="Q193" s="580"/>
      <c r="R193" s="580"/>
      <c r="S193" s="580"/>
      <c r="T193" s="581"/>
      <c r="U193" s="580">
        <v>0</v>
      </c>
      <c r="V193" s="580">
        <v>0</v>
      </c>
      <c r="W193" s="580">
        <v>0</v>
      </c>
      <c r="X193" s="580">
        <v>0</v>
      </c>
      <c r="Y193" s="580">
        <v>0</v>
      </c>
      <c r="Z193" s="580">
        <f t="shared" si="50"/>
        <v>0</v>
      </c>
      <c r="AA193" s="580">
        <f t="shared" si="50"/>
        <v>0</v>
      </c>
      <c r="AB193" s="580">
        <f t="shared" si="50"/>
        <v>0</v>
      </c>
      <c r="AC193" s="580">
        <f t="shared" si="50"/>
        <v>0</v>
      </c>
      <c r="AD193" s="580">
        <f t="shared" si="50"/>
        <v>0</v>
      </c>
      <c r="AE193" s="580">
        <f t="shared" si="50"/>
        <v>0</v>
      </c>
      <c r="AF193" s="822"/>
      <c r="AG193" s="828"/>
      <c r="AH193" s="822"/>
      <c r="AI193" s="822"/>
      <c r="AJ193" s="822"/>
      <c r="AK193" s="806"/>
      <c r="AL193" s="806"/>
      <c r="AM193" s="806"/>
      <c r="AN193" s="806"/>
      <c r="AO193" s="806"/>
      <c r="AP193" s="806"/>
      <c r="AQ193" s="806"/>
      <c r="AR193" s="806"/>
      <c r="AS193" s="806"/>
      <c r="AT193" s="806"/>
      <c r="AU193" s="806"/>
      <c r="AV193" s="806"/>
      <c r="AW193" s="806"/>
      <c r="AX193" s="806"/>
      <c r="AY193" s="584"/>
    </row>
    <row r="194" spans="1:51" ht="28.9" customHeight="1" x14ac:dyDescent="0.25">
      <c r="A194" s="828"/>
      <c r="B194" s="822"/>
      <c r="C194" s="822"/>
      <c r="D194" s="579" t="s">
        <v>353</v>
      </c>
      <c r="E194" s="582"/>
      <c r="F194" s="582"/>
      <c r="G194" s="582"/>
      <c r="H194" s="582"/>
      <c r="I194" s="580"/>
      <c r="J194" s="580"/>
      <c r="K194" s="598">
        <v>1</v>
      </c>
      <c r="L194" s="580">
        <v>2</v>
      </c>
      <c r="M194" s="580">
        <v>3</v>
      </c>
      <c r="N194" s="586">
        <v>4</v>
      </c>
      <c r="O194" s="586">
        <v>5</v>
      </c>
      <c r="P194" s="580">
        <v>8</v>
      </c>
      <c r="Q194" s="580">
        <v>8</v>
      </c>
      <c r="R194" s="580">
        <v>9</v>
      </c>
      <c r="S194" s="580"/>
      <c r="T194" s="581"/>
      <c r="U194" s="580">
        <v>0</v>
      </c>
      <c r="V194" s="580">
        <v>0</v>
      </c>
      <c r="W194" s="580">
        <v>0</v>
      </c>
      <c r="X194" s="580">
        <v>1</v>
      </c>
      <c r="Y194" s="580">
        <v>2</v>
      </c>
      <c r="Z194" s="580">
        <f t="shared" si="50"/>
        <v>3</v>
      </c>
      <c r="AA194" s="581">
        <f t="shared" si="50"/>
        <v>4</v>
      </c>
      <c r="AB194" s="580">
        <f t="shared" si="50"/>
        <v>5</v>
      </c>
      <c r="AC194" s="580">
        <f t="shared" si="50"/>
        <v>8</v>
      </c>
      <c r="AD194" s="580">
        <f t="shared" si="50"/>
        <v>8</v>
      </c>
      <c r="AE194" s="580">
        <f t="shared" si="50"/>
        <v>9</v>
      </c>
      <c r="AF194" s="822"/>
      <c r="AG194" s="828"/>
      <c r="AH194" s="822"/>
      <c r="AI194" s="822"/>
      <c r="AJ194" s="822"/>
      <c r="AK194" s="806"/>
      <c r="AL194" s="806"/>
      <c r="AM194" s="806"/>
      <c r="AN194" s="806"/>
      <c r="AO194" s="806"/>
      <c r="AP194" s="806"/>
      <c r="AQ194" s="806"/>
      <c r="AR194" s="806"/>
      <c r="AS194" s="806"/>
      <c r="AT194" s="806"/>
      <c r="AU194" s="806"/>
      <c r="AV194" s="806"/>
      <c r="AW194" s="806"/>
      <c r="AX194" s="806"/>
      <c r="AY194" s="584"/>
    </row>
    <row r="195" spans="1:51" ht="28.9" customHeight="1" x14ac:dyDescent="0.25">
      <c r="A195" s="828"/>
      <c r="B195" s="822"/>
      <c r="C195" s="823"/>
      <c r="D195" s="578" t="s">
        <v>354</v>
      </c>
      <c r="E195" s="582"/>
      <c r="F195" s="582"/>
      <c r="G195" s="582"/>
      <c r="H195" s="582"/>
      <c r="I195" s="580"/>
      <c r="J195" s="580"/>
      <c r="K195" s="580">
        <v>2543653.846153846</v>
      </c>
      <c r="L195" s="580">
        <v>4069846.153846154</v>
      </c>
      <c r="M195" s="580">
        <f t="shared" ref="M195:R195" si="53">+M191+M193</f>
        <v>5087307.692307692</v>
      </c>
      <c r="N195" s="582">
        <f t="shared" si="53"/>
        <v>5814065.9340659343</v>
      </c>
      <c r="O195" s="582">
        <f t="shared" si="53"/>
        <v>6359134.615384615</v>
      </c>
      <c r="P195" s="580">
        <f t="shared" si="53"/>
        <v>9044102.564102564</v>
      </c>
      <c r="Q195" s="580">
        <f t="shared" si="53"/>
        <v>8331968.5039370079</v>
      </c>
      <c r="R195" s="580">
        <f t="shared" si="53"/>
        <v>10161394.160583941</v>
      </c>
      <c r="S195" s="580"/>
      <c r="T195" s="581"/>
      <c r="U195" s="580">
        <v>0</v>
      </c>
      <c r="V195" s="580">
        <v>0</v>
      </c>
      <c r="W195" s="580">
        <v>0</v>
      </c>
      <c r="X195" s="580">
        <v>2543653.846153846</v>
      </c>
      <c r="Y195" s="580">
        <v>4069846.153846154</v>
      </c>
      <c r="Z195" s="580">
        <f t="shared" si="50"/>
        <v>5087307.692307692</v>
      </c>
      <c r="AA195" s="580">
        <f t="shared" si="50"/>
        <v>5814065.9340659343</v>
      </c>
      <c r="AB195" s="580">
        <f t="shared" si="50"/>
        <v>6359134.615384615</v>
      </c>
      <c r="AC195" s="580">
        <f t="shared" si="50"/>
        <v>9044102.564102564</v>
      </c>
      <c r="AD195" s="580">
        <f t="shared" si="50"/>
        <v>8331968.5039370079</v>
      </c>
      <c r="AE195" s="580">
        <f t="shared" si="50"/>
        <v>10161394.160583941</v>
      </c>
      <c r="AF195" s="823"/>
      <c r="AG195" s="829"/>
      <c r="AH195" s="823"/>
      <c r="AI195" s="823"/>
      <c r="AJ195" s="823"/>
      <c r="AK195" s="807"/>
      <c r="AL195" s="807"/>
      <c r="AM195" s="807"/>
      <c r="AN195" s="807"/>
      <c r="AO195" s="807"/>
      <c r="AP195" s="807"/>
      <c r="AQ195" s="807"/>
      <c r="AR195" s="807"/>
      <c r="AS195" s="807"/>
      <c r="AT195" s="807"/>
      <c r="AU195" s="807"/>
      <c r="AV195" s="807"/>
      <c r="AW195" s="807"/>
      <c r="AX195" s="807"/>
      <c r="AY195" s="584"/>
    </row>
    <row r="196" spans="1:51" ht="19.149999999999999" customHeight="1" x14ac:dyDescent="0.25">
      <c r="A196" s="828"/>
      <c r="B196" s="822"/>
      <c r="C196" s="821" t="s">
        <v>640</v>
      </c>
      <c r="D196" s="572" t="s">
        <v>345</v>
      </c>
      <c r="E196" s="582"/>
      <c r="F196" s="582"/>
      <c r="G196" s="582"/>
      <c r="H196" s="582">
        <v>2</v>
      </c>
      <c r="I196" s="580">
        <v>4</v>
      </c>
      <c r="J196" s="580">
        <v>5</v>
      </c>
      <c r="K196" s="598">
        <v>6</v>
      </c>
      <c r="L196" s="580">
        <v>8</v>
      </c>
      <c r="M196" s="580">
        <v>8</v>
      </c>
      <c r="N196" s="586">
        <v>8</v>
      </c>
      <c r="O196" s="582">
        <v>8</v>
      </c>
      <c r="P196" s="580">
        <v>8</v>
      </c>
      <c r="Q196" s="580">
        <v>10</v>
      </c>
      <c r="R196" s="580">
        <v>13</v>
      </c>
      <c r="S196" s="580"/>
      <c r="T196" s="581"/>
      <c r="U196" s="580">
        <v>2</v>
      </c>
      <c r="V196" s="580">
        <v>4</v>
      </c>
      <c r="W196" s="580">
        <v>5</v>
      </c>
      <c r="X196" s="580">
        <v>6</v>
      </c>
      <c r="Y196" s="580">
        <v>8</v>
      </c>
      <c r="Z196" s="580">
        <f t="shared" ref="Z196:AE211" si="54">+M196</f>
        <v>8</v>
      </c>
      <c r="AA196" s="581">
        <f t="shared" si="54"/>
        <v>8</v>
      </c>
      <c r="AB196" s="580">
        <f t="shared" si="54"/>
        <v>8</v>
      </c>
      <c r="AC196" s="580">
        <f t="shared" si="54"/>
        <v>8</v>
      </c>
      <c r="AD196" s="580">
        <f t="shared" si="54"/>
        <v>10</v>
      </c>
      <c r="AE196" s="580">
        <f t="shared" si="54"/>
        <v>13</v>
      </c>
      <c r="AF196" s="894" t="s">
        <v>641</v>
      </c>
      <c r="AG196" s="890" t="s">
        <v>555</v>
      </c>
      <c r="AH196" s="824" t="s">
        <v>642</v>
      </c>
      <c r="AI196" s="824" t="s">
        <v>643</v>
      </c>
      <c r="AJ196" s="821" t="s">
        <v>610</v>
      </c>
      <c r="AK196" s="826" t="s">
        <v>490</v>
      </c>
      <c r="AL196" s="826" t="s">
        <v>644</v>
      </c>
      <c r="AM196" s="826" t="s">
        <v>491</v>
      </c>
      <c r="AN196" s="861">
        <v>817019</v>
      </c>
      <c r="AO196" s="861">
        <v>387428</v>
      </c>
      <c r="AP196" s="861">
        <v>429591</v>
      </c>
      <c r="AQ196" s="840" t="s">
        <v>492</v>
      </c>
      <c r="AR196" s="840" t="s">
        <v>492</v>
      </c>
      <c r="AS196" s="840" t="s">
        <v>492</v>
      </c>
      <c r="AT196" s="840" t="s">
        <v>492</v>
      </c>
      <c r="AU196" s="833" t="s">
        <v>492</v>
      </c>
      <c r="AV196" s="833" t="s">
        <v>492</v>
      </c>
      <c r="AW196" s="833" t="s">
        <v>492</v>
      </c>
      <c r="AX196" s="861">
        <v>817019</v>
      </c>
      <c r="AY196" s="584"/>
    </row>
    <row r="197" spans="1:51" ht="19.149999999999999" customHeight="1" x14ac:dyDescent="0.25">
      <c r="A197" s="828"/>
      <c r="B197" s="822"/>
      <c r="C197" s="822"/>
      <c r="D197" s="578" t="s">
        <v>349</v>
      </c>
      <c r="E197" s="582"/>
      <c r="F197" s="582"/>
      <c r="G197" s="582"/>
      <c r="H197" s="582">
        <v>6783076.923076923</v>
      </c>
      <c r="I197" s="580">
        <v>20349230.769230768</v>
      </c>
      <c r="J197" s="580">
        <v>16957692.307692308</v>
      </c>
      <c r="K197" s="580">
        <v>15261923.076923076</v>
      </c>
      <c r="L197" s="580">
        <v>16279384.615384616</v>
      </c>
      <c r="M197" s="580">
        <f>+M196*$Z$143/$Z$142</f>
        <v>13566153.846153846</v>
      </c>
      <c r="N197" s="582">
        <f>+N196*$AA$143/$AA$142</f>
        <v>11628131.868131869</v>
      </c>
      <c r="O197" s="582">
        <f>+O196*$AB$143/$AB$142</f>
        <v>10174615.384615384</v>
      </c>
      <c r="P197" s="580">
        <f>+P196*$AC$143/$AC$142</f>
        <v>9044102.564102564</v>
      </c>
      <c r="Q197" s="580">
        <f>+Q196*$AD$143/$AD$142</f>
        <v>10414960.629921259</v>
      </c>
      <c r="R197" s="580">
        <f>+R196*$AE$143/$AE$142</f>
        <v>14677569.343065694</v>
      </c>
      <c r="S197" s="580"/>
      <c r="T197" s="580"/>
      <c r="U197" s="580">
        <v>6783076.923076923</v>
      </c>
      <c r="V197" s="580">
        <v>20349230.769230768</v>
      </c>
      <c r="W197" s="580">
        <v>16957692.307692308</v>
      </c>
      <c r="X197" s="580">
        <v>15261923.076923076</v>
      </c>
      <c r="Y197" s="580">
        <v>16279384.615384616</v>
      </c>
      <c r="Z197" s="580">
        <f t="shared" si="54"/>
        <v>13566153.846153846</v>
      </c>
      <c r="AA197" s="580">
        <f t="shared" si="54"/>
        <v>11628131.868131869</v>
      </c>
      <c r="AB197" s="580">
        <f t="shared" si="54"/>
        <v>10174615.384615384</v>
      </c>
      <c r="AC197" s="580">
        <f t="shared" si="54"/>
        <v>9044102.564102564</v>
      </c>
      <c r="AD197" s="580">
        <f t="shared" si="54"/>
        <v>10414960.629921259</v>
      </c>
      <c r="AE197" s="580">
        <f t="shared" si="54"/>
        <v>14677569.343065694</v>
      </c>
      <c r="AF197" s="822"/>
      <c r="AG197" s="828"/>
      <c r="AH197" s="822"/>
      <c r="AI197" s="822"/>
      <c r="AJ197" s="822"/>
      <c r="AK197" s="806"/>
      <c r="AL197" s="806"/>
      <c r="AM197" s="806"/>
      <c r="AN197" s="806"/>
      <c r="AO197" s="806"/>
      <c r="AP197" s="806"/>
      <c r="AQ197" s="806"/>
      <c r="AR197" s="806"/>
      <c r="AS197" s="806"/>
      <c r="AT197" s="806"/>
      <c r="AU197" s="806"/>
      <c r="AV197" s="806"/>
      <c r="AW197" s="806"/>
      <c r="AX197" s="806"/>
      <c r="AY197" s="584"/>
    </row>
    <row r="198" spans="1:51" ht="28.9" customHeight="1" x14ac:dyDescent="0.25">
      <c r="A198" s="828"/>
      <c r="B198" s="822"/>
      <c r="C198" s="822"/>
      <c r="D198" s="579" t="s">
        <v>351</v>
      </c>
      <c r="E198" s="582"/>
      <c r="F198" s="582"/>
      <c r="G198" s="582"/>
      <c r="H198" s="582"/>
      <c r="I198" s="580"/>
      <c r="J198" s="580"/>
      <c r="K198" s="598"/>
      <c r="L198" s="580"/>
      <c r="M198" s="580"/>
      <c r="N198" s="586"/>
      <c r="O198" s="582"/>
      <c r="P198" s="580"/>
      <c r="Q198" s="580"/>
      <c r="R198" s="580"/>
      <c r="S198" s="580"/>
      <c r="T198" s="581"/>
      <c r="U198" s="580">
        <v>0</v>
      </c>
      <c r="V198" s="580">
        <v>0</v>
      </c>
      <c r="W198" s="580">
        <v>0</v>
      </c>
      <c r="X198" s="580">
        <v>0</v>
      </c>
      <c r="Y198" s="580">
        <v>0</v>
      </c>
      <c r="Z198" s="580">
        <f t="shared" si="54"/>
        <v>0</v>
      </c>
      <c r="AA198" s="581">
        <f t="shared" si="54"/>
        <v>0</v>
      </c>
      <c r="AB198" s="580">
        <f t="shared" si="54"/>
        <v>0</v>
      </c>
      <c r="AC198" s="580">
        <f t="shared" si="54"/>
        <v>0</v>
      </c>
      <c r="AD198" s="580">
        <f t="shared" si="54"/>
        <v>0</v>
      </c>
      <c r="AE198" s="580">
        <f t="shared" si="54"/>
        <v>0</v>
      </c>
      <c r="AF198" s="822"/>
      <c r="AG198" s="828"/>
      <c r="AH198" s="822"/>
      <c r="AI198" s="822"/>
      <c r="AJ198" s="822"/>
      <c r="AK198" s="806"/>
      <c r="AL198" s="806"/>
      <c r="AM198" s="806"/>
      <c r="AN198" s="806"/>
      <c r="AO198" s="806"/>
      <c r="AP198" s="806"/>
      <c r="AQ198" s="806"/>
      <c r="AR198" s="806"/>
      <c r="AS198" s="806"/>
      <c r="AT198" s="806"/>
      <c r="AU198" s="806"/>
      <c r="AV198" s="806"/>
      <c r="AW198" s="806"/>
      <c r="AX198" s="806"/>
      <c r="AY198" s="584"/>
    </row>
    <row r="199" spans="1:51" ht="28.9" customHeight="1" x14ac:dyDescent="0.25">
      <c r="A199" s="828"/>
      <c r="B199" s="822"/>
      <c r="C199" s="822"/>
      <c r="D199" s="578" t="s">
        <v>352</v>
      </c>
      <c r="E199" s="582"/>
      <c r="F199" s="582"/>
      <c r="G199" s="582"/>
      <c r="H199" s="582">
        <v>930788.88888888888</v>
      </c>
      <c r="I199" s="580">
        <v>930788.88888888899</v>
      </c>
      <c r="J199" s="580">
        <v>930788.88888888899</v>
      </c>
      <c r="K199" s="598">
        <v>930788.88888888888</v>
      </c>
      <c r="L199" s="580">
        <v>930788.88888888888</v>
      </c>
      <c r="M199" s="580">
        <v>930788.88888888888</v>
      </c>
      <c r="N199" s="582">
        <v>930788.88888888888</v>
      </c>
      <c r="O199" s="582">
        <v>930788.88888888888</v>
      </c>
      <c r="P199" s="580">
        <v>930788.88888888888</v>
      </c>
      <c r="Q199" s="580">
        <v>930788.88888888888</v>
      </c>
      <c r="R199" s="580">
        <v>930788.88888888888</v>
      </c>
      <c r="S199" s="580"/>
      <c r="T199" s="581"/>
      <c r="U199" s="580">
        <v>930788.88888888888</v>
      </c>
      <c r="V199" s="580">
        <v>930788.88888888899</v>
      </c>
      <c r="W199" s="580">
        <v>930788.88888888899</v>
      </c>
      <c r="X199" s="580">
        <v>930788.88888888888</v>
      </c>
      <c r="Y199" s="580">
        <v>930788.88888888888</v>
      </c>
      <c r="Z199" s="580">
        <f t="shared" si="54"/>
        <v>930788.88888888888</v>
      </c>
      <c r="AA199" s="580">
        <f t="shared" si="54"/>
        <v>930788.88888888888</v>
      </c>
      <c r="AB199" s="580">
        <f t="shared" si="54"/>
        <v>930788.88888888888</v>
      </c>
      <c r="AC199" s="580">
        <f t="shared" si="54"/>
        <v>930788.88888888888</v>
      </c>
      <c r="AD199" s="580">
        <f t="shared" si="54"/>
        <v>930788.88888888888</v>
      </c>
      <c r="AE199" s="580">
        <f t="shared" si="54"/>
        <v>930788.88888888888</v>
      </c>
      <c r="AF199" s="822"/>
      <c r="AG199" s="828"/>
      <c r="AH199" s="822"/>
      <c r="AI199" s="822"/>
      <c r="AJ199" s="822"/>
      <c r="AK199" s="806"/>
      <c r="AL199" s="806"/>
      <c r="AM199" s="806"/>
      <c r="AN199" s="806"/>
      <c r="AO199" s="806"/>
      <c r="AP199" s="806"/>
      <c r="AQ199" s="806"/>
      <c r="AR199" s="806"/>
      <c r="AS199" s="806"/>
      <c r="AT199" s="806"/>
      <c r="AU199" s="806"/>
      <c r="AV199" s="806"/>
      <c r="AW199" s="806"/>
      <c r="AX199" s="806"/>
      <c r="AY199" s="584"/>
    </row>
    <row r="200" spans="1:51" ht="28.9" customHeight="1" x14ac:dyDescent="0.25">
      <c r="A200" s="828"/>
      <c r="B200" s="822"/>
      <c r="C200" s="822"/>
      <c r="D200" s="579" t="s">
        <v>353</v>
      </c>
      <c r="E200" s="582"/>
      <c r="F200" s="582"/>
      <c r="G200" s="582"/>
      <c r="H200" s="582">
        <v>2</v>
      </c>
      <c r="I200" s="580">
        <v>4</v>
      </c>
      <c r="J200" s="580">
        <v>5</v>
      </c>
      <c r="K200" s="598">
        <v>6</v>
      </c>
      <c r="L200" s="580">
        <v>8</v>
      </c>
      <c r="M200" s="580">
        <v>8</v>
      </c>
      <c r="N200" s="586">
        <v>8</v>
      </c>
      <c r="O200" s="586">
        <v>8</v>
      </c>
      <c r="P200" s="581">
        <v>8</v>
      </c>
      <c r="Q200" s="581">
        <v>10</v>
      </c>
      <c r="R200" s="581">
        <v>13</v>
      </c>
      <c r="S200" s="581"/>
      <c r="T200" s="581"/>
      <c r="U200" s="580">
        <v>2</v>
      </c>
      <c r="V200" s="580">
        <v>4</v>
      </c>
      <c r="W200" s="580">
        <v>5</v>
      </c>
      <c r="X200" s="580">
        <v>6</v>
      </c>
      <c r="Y200" s="580">
        <v>8</v>
      </c>
      <c r="Z200" s="580">
        <f t="shared" si="54"/>
        <v>8</v>
      </c>
      <c r="AA200" s="581">
        <f t="shared" si="54"/>
        <v>8</v>
      </c>
      <c r="AB200" s="580">
        <f t="shared" si="54"/>
        <v>8</v>
      </c>
      <c r="AC200" s="580">
        <f t="shared" si="54"/>
        <v>8</v>
      </c>
      <c r="AD200" s="580">
        <f t="shared" si="54"/>
        <v>10</v>
      </c>
      <c r="AE200" s="581">
        <f t="shared" si="54"/>
        <v>13</v>
      </c>
      <c r="AF200" s="822"/>
      <c r="AG200" s="828"/>
      <c r="AH200" s="822"/>
      <c r="AI200" s="822"/>
      <c r="AJ200" s="822"/>
      <c r="AK200" s="806"/>
      <c r="AL200" s="806"/>
      <c r="AM200" s="806"/>
      <c r="AN200" s="806"/>
      <c r="AO200" s="806"/>
      <c r="AP200" s="806"/>
      <c r="AQ200" s="806"/>
      <c r="AR200" s="806"/>
      <c r="AS200" s="806"/>
      <c r="AT200" s="806"/>
      <c r="AU200" s="806"/>
      <c r="AV200" s="806"/>
      <c r="AW200" s="806"/>
      <c r="AX200" s="806"/>
      <c r="AY200" s="584"/>
    </row>
    <row r="201" spans="1:51" ht="28.9" customHeight="1" x14ac:dyDescent="0.25">
      <c r="A201" s="828"/>
      <c r="B201" s="822"/>
      <c r="C201" s="823"/>
      <c r="D201" s="578" t="s">
        <v>354</v>
      </c>
      <c r="E201" s="582"/>
      <c r="F201" s="582"/>
      <c r="G201" s="582"/>
      <c r="H201" s="582">
        <v>7713865.811965812</v>
      </c>
      <c r="I201" s="580">
        <v>21280019.658119656</v>
      </c>
      <c r="J201" s="580">
        <v>17888481.196581196</v>
      </c>
      <c r="K201" s="580">
        <v>16192711.965811964</v>
      </c>
      <c r="L201" s="580">
        <v>17210173.504273504</v>
      </c>
      <c r="M201" s="580">
        <f t="shared" ref="M201:R201" si="55">+M197+M199</f>
        <v>14496942.735042734</v>
      </c>
      <c r="N201" s="582">
        <f t="shared" si="55"/>
        <v>12558920.757020757</v>
      </c>
      <c r="O201" s="582">
        <f t="shared" si="55"/>
        <v>11105404.273504272</v>
      </c>
      <c r="P201" s="580">
        <f t="shared" si="55"/>
        <v>9974891.4529914521</v>
      </c>
      <c r="Q201" s="580">
        <f t="shared" si="55"/>
        <v>11345749.518810147</v>
      </c>
      <c r="R201" s="580">
        <f t="shared" si="55"/>
        <v>15608358.231954582</v>
      </c>
      <c r="S201" s="580"/>
      <c r="T201" s="580"/>
      <c r="U201" s="580">
        <v>7713865.811965812</v>
      </c>
      <c r="V201" s="580">
        <v>21280019.658119656</v>
      </c>
      <c r="W201" s="580">
        <v>17888481.196581196</v>
      </c>
      <c r="X201" s="580">
        <v>16192711.965811964</v>
      </c>
      <c r="Y201" s="580">
        <v>17210173.504273504</v>
      </c>
      <c r="Z201" s="580">
        <f t="shared" si="54"/>
        <v>14496942.735042734</v>
      </c>
      <c r="AA201" s="580">
        <f t="shared" si="54"/>
        <v>12558920.757020757</v>
      </c>
      <c r="AB201" s="580">
        <f t="shared" si="54"/>
        <v>11105404.273504272</v>
      </c>
      <c r="AC201" s="580">
        <f t="shared" si="54"/>
        <v>9974891.4529914521</v>
      </c>
      <c r="AD201" s="580">
        <f t="shared" si="54"/>
        <v>11345749.518810147</v>
      </c>
      <c r="AE201" s="580">
        <f t="shared" si="54"/>
        <v>15608358.231954582</v>
      </c>
      <c r="AF201" s="823"/>
      <c r="AG201" s="829"/>
      <c r="AH201" s="823"/>
      <c r="AI201" s="823"/>
      <c r="AJ201" s="823"/>
      <c r="AK201" s="807"/>
      <c r="AL201" s="807"/>
      <c r="AM201" s="807"/>
      <c r="AN201" s="807"/>
      <c r="AO201" s="807"/>
      <c r="AP201" s="807"/>
      <c r="AQ201" s="807"/>
      <c r="AR201" s="807"/>
      <c r="AS201" s="807"/>
      <c r="AT201" s="807"/>
      <c r="AU201" s="807"/>
      <c r="AV201" s="807"/>
      <c r="AW201" s="807"/>
      <c r="AX201" s="807"/>
      <c r="AY201" s="584"/>
    </row>
    <row r="202" spans="1:51" ht="19.149999999999999" customHeight="1" x14ac:dyDescent="0.25">
      <c r="A202" s="828"/>
      <c r="B202" s="822"/>
      <c r="C202" s="821" t="s">
        <v>561</v>
      </c>
      <c r="D202" s="572" t="s">
        <v>345</v>
      </c>
      <c r="E202" s="582"/>
      <c r="F202" s="582"/>
      <c r="G202" s="582"/>
      <c r="H202" s="582"/>
      <c r="I202" s="580">
        <v>1</v>
      </c>
      <c r="J202" s="580">
        <v>3</v>
      </c>
      <c r="K202" s="598">
        <v>7</v>
      </c>
      <c r="L202" s="580">
        <v>9</v>
      </c>
      <c r="M202" s="580">
        <v>13</v>
      </c>
      <c r="N202" s="586">
        <v>14</v>
      </c>
      <c r="O202" s="582">
        <v>19</v>
      </c>
      <c r="P202" s="580">
        <v>25</v>
      </c>
      <c r="Q202" s="580">
        <v>29</v>
      </c>
      <c r="R202" s="580">
        <v>32</v>
      </c>
      <c r="S202" s="580"/>
      <c r="T202" s="581"/>
      <c r="U202" s="580">
        <v>0</v>
      </c>
      <c r="V202" s="580">
        <v>1</v>
      </c>
      <c r="W202" s="580">
        <v>3</v>
      </c>
      <c r="X202" s="580">
        <v>7</v>
      </c>
      <c r="Y202" s="580">
        <v>9</v>
      </c>
      <c r="Z202" s="580">
        <f t="shared" si="54"/>
        <v>13</v>
      </c>
      <c r="AA202" s="581">
        <f t="shared" si="54"/>
        <v>14</v>
      </c>
      <c r="AB202" s="580">
        <f t="shared" si="54"/>
        <v>19</v>
      </c>
      <c r="AC202" s="580">
        <f t="shared" si="54"/>
        <v>25</v>
      </c>
      <c r="AD202" s="580">
        <f t="shared" si="54"/>
        <v>29</v>
      </c>
      <c r="AE202" s="580">
        <f t="shared" si="54"/>
        <v>32</v>
      </c>
      <c r="AF202" s="894" t="s">
        <v>645</v>
      </c>
      <c r="AG202" s="890" t="s">
        <v>561</v>
      </c>
      <c r="AH202" s="824" t="s">
        <v>646</v>
      </c>
      <c r="AI202" s="895" t="s">
        <v>647</v>
      </c>
      <c r="AJ202" s="821" t="s">
        <v>610</v>
      </c>
      <c r="AK202" s="826" t="s">
        <v>490</v>
      </c>
      <c r="AL202" s="826" t="s">
        <v>648</v>
      </c>
      <c r="AM202" s="826" t="s">
        <v>491</v>
      </c>
      <c r="AN202" s="861">
        <v>1294358</v>
      </c>
      <c r="AO202" s="861">
        <v>610618</v>
      </c>
      <c r="AP202" s="861">
        <v>683740</v>
      </c>
      <c r="AQ202" s="840" t="s">
        <v>492</v>
      </c>
      <c r="AR202" s="840" t="s">
        <v>492</v>
      </c>
      <c r="AS202" s="840" t="s">
        <v>492</v>
      </c>
      <c r="AT202" s="840" t="s">
        <v>492</v>
      </c>
      <c r="AU202" s="833" t="s">
        <v>492</v>
      </c>
      <c r="AV202" s="833" t="s">
        <v>492</v>
      </c>
      <c r="AW202" s="833" t="s">
        <v>492</v>
      </c>
      <c r="AX202" s="861">
        <v>1290144</v>
      </c>
      <c r="AY202" s="584"/>
    </row>
    <row r="203" spans="1:51" ht="19.149999999999999" customHeight="1" x14ac:dyDescent="0.25">
      <c r="A203" s="828"/>
      <c r="B203" s="822"/>
      <c r="C203" s="822"/>
      <c r="D203" s="578" t="s">
        <v>349</v>
      </c>
      <c r="E203" s="582"/>
      <c r="F203" s="582"/>
      <c r="G203" s="582"/>
      <c r="H203" s="582"/>
      <c r="I203" s="580">
        <v>5087307.692307692</v>
      </c>
      <c r="J203" s="580">
        <v>10174615.384615384</v>
      </c>
      <c r="K203" s="580">
        <v>17805576.923076924</v>
      </c>
      <c r="L203" s="580">
        <v>18314307.692307692</v>
      </c>
      <c r="M203" s="580">
        <f>+M202*$Z$143/$Z$142</f>
        <v>22045000</v>
      </c>
      <c r="N203" s="582">
        <f>+N202*$AA$143/$AA$142</f>
        <v>20349230.769230768</v>
      </c>
      <c r="O203" s="582">
        <f>+O202*$AB$143/$AB$142</f>
        <v>24164711.53846154</v>
      </c>
      <c r="P203" s="580">
        <f>+P202*$AC$143/$AC$142</f>
        <v>28262820.512820512</v>
      </c>
      <c r="Q203" s="580">
        <f>+Q202*$AD$143/$AD$142</f>
        <v>30203385.826771654</v>
      </c>
      <c r="R203" s="580">
        <f>+R202*$AE$143/$AE$142</f>
        <v>36129401.459854014</v>
      </c>
      <c r="S203" s="580"/>
      <c r="T203" s="580"/>
      <c r="U203" s="580">
        <v>0</v>
      </c>
      <c r="V203" s="580">
        <v>5087307.692307692</v>
      </c>
      <c r="W203" s="580">
        <v>10174615.384615384</v>
      </c>
      <c r="X203" s="580">
        <v>17805576.923076924</v>
      </c>
      <c r="Y203" s="580">
        <v>18314307.692307692</v>
      </c>
      <c r="Z203" s="580">
        <f t="shared" si="54"/>
        <v>22045000</v>
      </c>
      <c r="AA203" s="580">
        <f t="shared" si="54"/>
        <v>20349230.769230768</v>
      </c>
      <c r="AB203" s="580">
        <f t="shared" si="54"/>
        <v>24164711.53846154</v>
      </c>
      <c r="AC203" s="580">
        <f t="shared" si="54"/>
        <v>28262820.512820512</v>
      </c>
      <c r="AD203" s="580">
        <f t="shared" si="54"/>
        <v>30203385.826771654</v>
      </c>
      <c r="AE203" s="580">
        <f t="shared" si="54"/>
        <v>36129401.459854014</v>
      </c>
      <c r="AF203" s="822"/>
      <c r="AG203" s="828"/>
      <c r="AH203" s="822"/>
      <c r="AI203" s="822"/>
      <c r="AJ203" s="822"/>
      <c r="AK203" s="806"/>
      <c r="AL203" s="806"/>
      <c r="AM203" s="806"/>
      <c r="AN203" s="806"/>
      <c r="AO203" s="806"/>
      <c r="AP203" s="806"/>
      <c r="AQ203" s="806"/>
      <c r="AR203" s="806"/>
      <c r="AS203" s="806"/>
      <c r="AT203" s="806"/>
      <c r="AU203" s="806"/>
      <c r="AV203" s="806"/>
      <c r="AW203" s="806"/>
      <c r="AX203" s="806"/>
      <c r="AY203" s="584"/>
    </row>
    <row r="204" spans="1:51" ht="28.9" customHeight="1" x14ac:dyDescent="0.25">
      <c r="A204" s="828"/>
      <c r="B204" s="822"/>
      <c r="C204" s="822"/>
      <c r="D204" s="579" t="s">
        <v>351</v>
      </c>
      <c r="E204" s="582"/>
      <c r="F204" s="582"/>
      <c r="G204" s="582"/>
      <c r="H204" s="582"/>
      <c r="I204" s="580"/>
      <c r="J204" s="580"/>
      <c r="K204" s="598"/>
      <c r="L204" s="580"/>
      <c r="M204" s="580"/>
      <c r="N204" s="586"/>
      <c r="O204" s="582"/>
      <c r="P204" s="580"/>
      <c r="Q204" s="580"/>
      <c r="R204" s="580"/>
      <c r="S204" s="580"/>
      <c r="T204" s="581"/>
      <c r="U204" s="580">
        <v>0</v>
      </c>
      <c r="V204" s="580">
        <v>0</v>
      </c>
      <c r="W204" s="580">
        <v>0</v>
      </c>
      <c r="X204" s="580">
        <v>0</v>
      </c>
      <c r="Y204" s="580">
        <v>0</v>
      </c>
      <c r="Z204" s="580">
        <f t="shared" si="54"/>
        <v>0</v>
      </c>
      <c r="AA204" s="581">
        <f t="shared" si="54"/>
        <v>0</v>
      </c>
      <c r="AB204" s="580">
        <f t="shared" si="54"/>
        <v>0</v>
      </c>
      <c r="AC204" s="580">
        <f t="shared" si="54"/>
        <v>0</v>
      </c>
      <c r="AD204" s="580">
        <f t="shared" si="54"/>
        <v>0</v>
      </c>
      <c r="AE204" s="580">
        <f t="shared" si="54"/>
        <v>0</v>
      </c>
      <c r="AF204" s="822"/>
      <c r="AG204" s="828"/>
      <c r="AH204" s="822"/>
      <c r="AI204" s="822"/>
      <c r="AJ204" s="822"/>
      <c r="AK204" s="806"/>
      <c r="AL204" s="806"/>
      <c r="AM204" s="806"/>
      <c r="AN204" s="806"/>
      <c r="AO204" s="806"/>
      <c r="AP204" s="806"/>
      <c r="AQ204" s="806"/>
      <c r="AR204" s="806"/>
      <c r="AS204" s="806"/>
      <c r="AT204" s="806"/>
      <c r="AU204" s="806"/>
      <c r="AV204" s="806"/>
      <c r="AW204" s="806"/>
      <c r="AX204" s="806"/>
      <c r="AY204" s="584"/>
    </row>
    <row r="205" spans="1:51" ht="28.9" customHeight="1" x14ac:dyDescent="0.25">
      <c r="A205" s="828"/>
      <c r="B205" s="822"/>
      <c r="C205" s="822"/>
      <c r="D205" s="578" t="s">
        <v>352</v>
      </c>
      <c r="E205" s="582"/>
      <c r="F205" s="582"/>
      <c r="G205" s="582"/>
      <c r="H205" s="582"/>
      <c r="I205" s="580"/>
      <c r="J205" s="580"/>
      <c r="K205" s="598"/>
      <c r="L205" s="580"/>
      <c r="M205" s="580"/>
      <c r="N205" s="582"/>
      <c r="O205" s="582"/>
      <c r="P205" s="580"/>
      <c r="Q205" s="580"/>
      <c r="R205" s="580"/>
      <c r="S205" s="580"/>
      <c r="T205" s="581"/>
      <c r="U205" s="580">
        <v>0</v>
      </c>
      <c r="V205" s="580">
        <v>0</v>
      </c>
      <c r="W205" s="580">
        <v>0</v>
      </c>
      <c r="X205" s="580">
        <v>0</v>
      </c>
      <c r="Y205" s="580">
        <v>0</v>
      </c>
      <c r="Z205" s="580">
        <f t="shared" si="54"/>
        <v>0</v>
      </c>
      <c r="AA205" s="580">
        <f t="shared" si="54"/>
        <v>0</v>
      </c>
      <c r="AB205" s="580">
        <f t="shared" si="54"/>
        <v>0</v>
      </c>
      <c r="AC205" s="580">
        <f t="shared" si="54"/>
        <v>0</v>
      </c>
      <c r="AD205" s="580">
        <f t="shared" si="54"/>
        <v>0</v>
      </c>
      <c r="AE205" s="580">
        <f t="shared" si="54"/>
        <v>0</v>
      </c>
      <c r="AF205" s="822"/>
      <c r="AG205" s="828"/>
      <c r="AH205" s="822"/>
      <c r="AI205" s="822"/>
      <c r="AJ205" s="822"/>
      <c r="AK205" s="806"/>
      <c r="AL205" s="806"/>
      <c r="AM205" s="806"/>
      <c r="AN205" s="806"/>
      <c r="AO205" s="806"/>
      <c r="AP205" s="806"/>
      <c r="AQ205" s="806"/>
      <c r="AR205" s="806"/>
      <c r="AS205" s="806"/>
      <c r="AT205" s="806"/>
      <c r="AU205" s="806"/>
      <c r="AV205" s="806"/>
      <c r="AW205" s="806"/>
      <c r="AX205" s="806"/>
      <c r="AY205" s="584"/>
    </row>
    <row r="206" spans="1:51" ht="28.9" customHeight="1" x14ac:dyDescent="0.25">
      <c r="A206" s="828"/>
      <c r="B206" s="822"/>
      <c r="C206" s="822"/>
      <c r="D206" s="579" t="s">
        <v>353</v>
      </c>
      <c r="E206" s="582"/>
      <c r="F206" s="582"/>
      <c r="G206" s="582"/>
      <c r="H206" s="582"/>
      <c r="I206" s="580">
        <v>1</v>
      </c>
      <c r="J206" s="580">
        <v>3</v>
      </c>
      <c r="K206" s="598">
        <v>7</v>
      </c>
      <c r="L206" s="580">
        <v>9</v>
      </c>
      <c r="M206" s="580">
        <v>13</v>
      </c>
      <c r="N206" s="586">
        <v>14</v>
      </c>
      <c r="O206" s="586">
        <v>19</v>
      </c>
      <c r="P206" s="580">
        <v>25</v>
      </c>
      <c r="Q206" s="580">
        <v>29</v>
      </c>
      <c r="R206" s="580">
        <v>32</v>
      </c>
      <c r="S206" s="580"/>
      <c r="T206" s="581"/>
      <c r="U206" s="580">
        <v>0</v>
      </c>
      <c r="V206" s="580">
        <v>1</v>
      </c>
      <c r="W206" s="580">
        <v>3</v>
      </c>
      <c r="X206" s="580">
        <v>7</v>
      </c>
      <c r="Y206" s="580">
        <v>9</v>
      </c>
      <c r="Z206" s="580">
        <f t="shared" si="54"/>
        <v>13</v>
      </c>
      <c r="AA206" s="581">
        <f t="shared" si="54"/>
        <v>14</v>
      </c>
      <c r="AB206" s="580">
        <f t="shared" si="54"/>
        <v>19</v>
      </c>
      <c r="AC206" s="580">
        <f t="shared" si="54"/>
        <v>25</v>
      </c>
      <c r="AD206" s="580">
        <f t="shared" si="54"/>
        <v>29</v>
      </c>
      <c r="AE206" s="580">
        <f t="shared" si="54"/>
        <v>32</v>
      </c>
      <c r="AF206" s="822"/>
      <c r="AG206" s="828"/>
      <c r="AH206" s="822"/>
      <c r="AI206" s="822"/>
      <c r="AJ206" s="822"/>
      <c r="AK206" s="806"/>
      <c r="AL206" s="806"/>
      <c r="AM206" s="806"/>
      <c r="AN206" s="806"/>
      <c r="AO206" s="806"/>
      <c r="AP206" s="806"/>
      <c r="AQ206" s="806"/>
      <c r="AR206" s="806"/>
      <c r="AS206" s="806"/>
      <c r="AT206" s="806"/>
      <c r="AU206" s="806"/>
      <c r="AV206" s="806"/>
      <c r="AW206" s="806"/>
      <c r="AX206" s="806"/>
      <c r="AY206" s="584"/>
    </row>
    <row r="207" spans="1:51" ht="28.9" customHeight="1" x14ac:dyDescent="0.25">
      <c r="A207" s="828"/>
      <c r="B207" s="822"/>
      <c r="C207" s="823"/>
      <c r="D207" s="578" t="s">
        <v>354</v>
      </c>
      <c r="E207" s="582"/>
      <c r="F207" s="582"/>
      <c r="G207" s="582"/>
      <c r="H207" s="582"/>
      <c r="I207" s="580">
        <v>5087307.692307692</v>
      </c>
      <c r="J207" s="580">
        <v>10174615.384615384</v>
      </c>
      <c r="K207" s="580">
        <v>17805576.923076924</v>
      </c>
      <c r="L207" s="580">
        <v>18314307.692307692</v>
      </c>
      <c r="M207" s="580">
        <f t="shared" ref="M207:R207" si="56">+M203+M205</f>
        <v>22045000</v>
      </c>
      <c r="N207" s="582">
        <f t="shared" si="56"/>
        <v>20349230.769230768</v>
      </c>
      <c r="O207" s="582">
        <f t="shared" si="56"/>
        <v>24164711.53846154</v>
      </c>
      <c r="P207" s="580">
        <f t="shared" si="56"/>
        <v>28262820.512820512</v>
      </c>
      <c r="Q207" s="580">
        <f t="shared" si="56"/>
        <v>30203385.826771654</v>
      </c>
      <c r="R207" s="580">
        <f t="shared" si="56"/>
        <v>36129401.459854014</v>
      </c>
      <c r="S207" s="580"/>
      <c r="T207" s="580"/>
      <c r="U207" s="580">
        <v>0</v>
      </c>
      <c r="V207" s="580">
        <v>5087307.692307692</v>
      </c>
      <c r="W207" s="580">
        <v>10174615.384615384</v>
      </c>
      <c r="X207" s="580">
        <v>17805576.923076924</v>
      </c>
      <c r="Y207" s="580">
        <v>18314307.692307692</v>
      </c>
      <c r="Z207" s="580">
        <f t="shared" si="54"/>
        <v>22045000</v>
      </c>
      <c r="AA207" s="580">
        <f t="shared" si="54"/>
        <v>20349230.769230768</v>
      </c>
      <c r="AB207" s="580">
        <f t="shared" si="54"/>
        <v>24164711.53846154</v>
      </c>
      <c r="AC207" s="580">
        <f t="shared" si="54"/>
        <v>28262820.512820512</v>
      </c>
      <c r="AD207" s="580">
        <f t="shared" si="54"/>
        <v>30203385.826771654</v>
      </c>
      <c r="AE207" s="580">
        <f t="shared" si="54"/>
        <v>36129401.459854014</v>
      </c>
      <c r="AF207" s="823"/>
      <c r="AG207" s="829"/>
      <c r="AH207" s="823"/>
      <c r="AI207" s="823"/>
      <c r="AJ207" s="823"/>
      <c r="AK207" s="807"/>
      <c r="AL207" s="807"/>
      <c r="AM207" s="807"/>
      <c r="AN207" s="807"/>
      <c r="AO207" s="807"/>
      <c r="AP207" s="807"/>
      <c r="AQ207" s="807"/>
      <c r="AR207" s="807"/>
      <c r="AS207" s="807"/>
      <c r="AT207" s="807"/>
      <c r="AU207" s="807"/>
      <c r="AV207" s="807"/>
      <c r="AW207" s="807"/>
      <c r="AX207" s="807"/>
      <c r="AY207" s="584"/>
    </row>
    <row r="208" spans="1:51" ht="19.149999999999999" customHeight="1" x14ac:dyDescent="0.25">
      <c r="A208" s="828"/>
      <c r="B208" s="822"/>
      <c r="C208" s="821" t="s">
        <v>649</v>
      </c>
      <c r="D208" s="572" t="s">
        <v>345</v>
      </c>
      <c r="E208" s="582"/>
      <c r="F208" s="582"/>
      <c r="G208" s="582"/>
      <c r="H208" s="582">
        <v>1</v>
      </c>
      <c r="I208" s="580">
        <v>2</v>
      </c>
      <c r="J208" s="580">
        <v>2</v>
      </c>
      <c r="K208" s="598">
        <v>2</v>
      </c>
      <c r="L208" s="580">
        <v>3</v>
      </c>
      <c r="M208" s="580">
        <v>4</v>
      </c>
      <c r="N208" s="586">
        <v>5</v>
      </c>
      <c r="O208" s="582">
        <v>6</v>
      </c>
      <c r="P208" s="580">
        <v>6</v>
      </c>
      <c r="Q208" s="580">
        <v>6</v>
      </c>
      <c r="R208" s="580">
        <v>6</v>
      </c>
      <c r="S208" s="580"/>
      <c r="T208" s="581"/>
      <c r="U208" s="580">
        <v>1</v>
      </c>
      <c r="V208" s="580">
        <v>2</v>
      </c>
      <c r="W208" s="580">
        <v>2</v>
      </c>
      <c r="X208" s="580">
        <v>2</v>
      </c>
      <c r="Y208" s="580">
        <v>3</v>
      </c>
      <c r="Z208" s="580">
        <f t="shared" si="54"/>
        <v>4</v>
      </c>
      <c r="AA208" s="581">
        <f t="shared" si="54"/>
        <v>5</v>
      </c>
      <c r="AB208" s="580">
        <f t="shared" si="54"/>
        <v>6</v>
      </c>
      <c r="AC208" s="580">
        <f t="shared" si="54"/>
        <v>6</v>
      </c>
      <c r="AD208" s="580">
        <f t="shared" si="54"/>
        <v>6</v>
      </c>
      <c r="AE208" s="580">
        <f t="shared" si="54"/>
        <v>6</v>
      </c>
      <c r="AF208" s="894" t="s">
        <v>650</v>
      </c>
      <c r="AG208" s="827" t="s">
        <v>649</v>
      </c>
      <c r="AH208" s="824" t="s">
        <v>651</v>
      </c>
      <c r="AI208" s="824" t="s">
        <v>652</v>
      </c>
      <c r="AJ208" s="821" t="s">
        <v>610</v>
      </c>
      <c r="AK208" s="826" t="s">
        <v>490</v>
      </c>
      <c r="AL208" s="826" t="s">
        <v>178</v>
      </c>
      <c r="AM208" s="826" t="s">
        <v>491</v>
      </c>
      <c r="AN208" s="861">
        <v>153342</v>
      </c>
      <c r="AO208" s="861">
        <v>75950</v>
      </c>
      <c r="AP208" s="861">
        <v>77392</v>
      </c>
      <c r="AQ208" s="840" t="s">
        <v>492</v>
      </c>
      <c r="AR208" s="840" t="s">
        <v>492</v>
      </c>
      <c r="AS208" s="840" t="s">
        <v>492</v>
      </c>
      <c r="AT208" s="840" t="s">
        <v>492</v>
      </c>
      <c r="AU208" s="833" t="s">
        <v>492</v>
      </c>
      <c r="AV208" s="833" t="s">
        <v>492</v>
      </c>
      <c r="AW208" s="833" t="s">
        <v>492</v>
      </c>
      <c r="AX208" s="861">
        <v>153342</v>
      </c>
      <c r="AY208" s="584"/>
    </row>
    <row r="209" spans="1:51" ht="19.149999999999999" customHeight="1" x14ac:dyDescent="0.25">
      <c r="A209" s="828"/>
      <c r="B209" s="822"/>
      <c r="C209" s="822"/>
      <c r="D209" s="578" t="s">
        <v>349</v>
      </c>
      <c r="E209" s="582"/>
      <c r="F209" s="582"/>
      <c r="G209" s="582"/>
      <c r="H209" s="582">
        <v>3391538.4615384615</v>
      </c>
      <c r="I209" s="580">
        <v>10174615.384615384</v>
      </c>
      <c r="J209" s="580">
        <v>6783076.923076923</v>
      </c>
      <c r="K209" s="580">
        <v>5087307.692307692</v>
      </c>
      <c r="L209" s="580">
        <v>6104769.230769231</v>
      </c>
      <c r="M209" s="580">
        <f>+M208*$Z$143/$Z$142</f>
        <v>6783076.923076923</v>
      </c>
      <c r="N209" s="582">
        <f>+N208*$AA$143/$AA$142</f>
        <v>7267582.4175824178</v>
      </c>
      <c r="O209" s="582">
        <f>+O208*$AB$143/$AB$142</f>
        <v>7630961.538461538</v>
      </c>
      <c r="P209" s="580">
        <f>+P208*$AC$143/$AC$142</f>
        <v>6783076.923076923</v>
      </c>
      <c r="Q209" s="580">
        <f>+Q208*$AD$143/$AD$142</f>
        <v>6248976.3779527564</v>
      </c>
      <c r="R209" s="580">
        <f>+R208*$AE$143/$AE$142</f>
        <v>6774262.7737226281</v>
      </c>
      <c r="S209" s="580"/>
      <c r="T209" s="580"/>
      <c r="U209" s="580">
        <v>3391538.4615384615</v>
      </c>
      <c r="V209" s="580">
        <v>10174615.384615384</v>
      </c>
      <c r="W209" s="580">
        <v>6783076.923076923</v>
      </c>
      <c r="X209" s="580">
        <v>5087307.692307692</v>
      </c>
      <c r="Y209" s="580">
        <v>6104769.230769231</v>
      </c>
      <c r="Z209" s="580">
        <f t="shared" si="54"/>
        <v>6783076.923076923</v>
      </c>
      <c r="AA209" s="580">
        <f t="shared" si="54"/>
        <v>7267582.4175824178</v>
      </c>
      <c r="AB209" s="580">
        <f t="shared" si="54"/>
        <v>7630961.538461538</v>
      </c>
      <c r="AC209" s="580">
        <f t="shared" si="54"/>
        <v>6783076.923076923</v>
      </c>
      <c r="AD209" s="580">
        <f t="shared" si="54"/>
        <v>6248976.3779527564</v>
      </c>
      <c r="AE209" s="580">
        <f t="shared" si="54"/>
        <v>6774262.7737226281</v>
      </c>
      <c r="AF209" s="822"/>
      <c r="AG209" s="828"/>
      <c r="AH209" s="822"/>
      <c r="AI209" s="822"/>
      <c r="AJ209" s="822"/>
      <c r="AK209" s="806"/>
      <c r="AL209" s="806"/>
      <c r="AM209" s="806"/>
      <c r="AN209" s="806"/>
      <c r="AO209" s="806"/>
      <c r="AP209" s="806"/>
      <c r="AQ209" s="806"/>
      <c r="AR209" s="806"/>
      <c r="AS209" s="806"/>
      <c r="AT209" s="806"/>
      <c r="AU209" s="806"/>
      <c r="AV209" s="806"/>
      <c r="AW209" s="806"/>
      <c r="AX209" s="806"/>
      <c r="AY209" s="584"/>
    </row>
    <row r="210" spans="1:51" ht="28.9" customHeight="1" x14ac:dyDescent="0.25">
      <c r="A210" s="828"/>
      <c r="B210" s="822"/>
      <c r="C210" s="822"/>
      <c r="D210" s="579" t="s">
        <v>351</v>
      </c>
      <c r="E210" s="582"/>
      <c r="F210" s="582"/>
      <c r="G210" s="582"/>
      <c r="H210" s="582"/>
      <c r="I210" s="580"/>
      <c r="J210" s="580"/>
      <c r="K210" s="598"/>
      <c r="L210" s="580"/>
      <c r="M210" s="580"/>
      <c r="N210" s="586"/>
      <c r="O210" s="582"/>
      <c r="P210" s="580"/>
      <c r="Q210" s="580"/>
      <c r="R210" s="580"/>
      <c r="S210" s="580"/>
      <c r="T210" s="581"/>
      <c r="U210" s="580">
        <v>0</v>
      </c>
      <c r="V210" s="580">
        <v>0</v>
      </c>
      <c r="W210" s="580">
        <v>0</v>
      </c>
      <c r="X210" s="580">
        <v>0</v>
      </c>
      <c r="Y210" s="580">
        <v>0</v>
      </c>
      <c r="Z210" s="580">
        <f t="shared" si="54"/>
        <v>0</v>
      </c>
      <c r="AA210" s="581">
        <f t="shared" si="54"/>
        <v>0</v>
      </c>
      <c r="AB210" s="580">
        <f t="shared" si="54"/>
        <v>0</v>
      </c>
      <c r="AC210" s="580">
        <f t="shared" si="54"/>
        <v>0</v>
      </c>
      <c r="AD210" s="580">
        <f t="shared" si="54"/>
        <v>0</v>
      </c>
      <c r="AE210" s="580">
        <f t="shared" si="54"/>
        <v>0</v>
      </c>
      <c r="AF210" s="822"/>
      <c r="AG210" s="828"/>
      <c r="AH210" s="822"/>
      <c r="AI210" s="822"/>
      <c r="AJ210" s="822"/>
      <c r="AK210" s="806"/>
      <c r="AL210" s="806"/>
      <c r="AM210" s="806"/>
      <c r="AN210" s="806"/>
      <c r="AO210" s="806"/>
      <c r="AP210" s="806"/>
      <c r="AQ210" s="806"/>
      <c r="AR210" s="806"/>
      <c r="AS210" s="806"/>
      <c r="AT210" s="806"/>
      <c r="AU210" s="806"/>
      <c r="AV210" s="806"/>
      <c r="AW210" s="806"/>
      <c r="AX210" s="806"/>
      <c r="AY210" s="584"/>
    </row>
    <row r="211" spans="1:51" ht="28.9" customHeight="1" x14ac:dyDescent="0.25">
      <c r="A211" s="828"/>
      <c r="B211" s="822"/>
      <c r="C211" s="822"/>
      <c r="D211" s="578" t="s">
        <v>352</v>
      </c>
      <c r="E211" s="582"/>
      <c r="F211" s="582"/>
      <c r="G211" s="582"/>
      <c r="H211" s="582">
        <v>930788.88888888899</v>
      </c>
      <c r="I211" s="580">
        <v>930788.88888888899</v>
      </c>
      <c r="J211" s="580">
        <v>930788.88888888899</v>
      </c>
      <c r="K211" s="598">
        <v>930788.88888888888</v>
      </c>
      <c r="L211" s="580">
        <v>930788.88888888888</v>
      </c>
      <c r="M211" s="580">
        <v>930788.88888888888</v>
      </c>
      <c r="N211" s="582">
        <v>930788.88888888888</v>
      </c>
      <c r="O211" s="582">
        <v>930788.88888888888</v>
      </c>
      <c r="P211" s="580">
        <v>930788.88888888888</v>
      </c>
      <c r="Q211" s="580">
        <v>930788.88888888888</v>
      </c>
      <c r="R211" s="580">
        <v>930788.88888888888</v>
      </c>
      <c r="S211" s="580"/>
      <c r="T211" s="581"/>
      <c r="U211" s="580">
        <v>930788.88888888899</v>
      </c>
      <c r="V211" s="580">
        <v>930788.88888888899</v>
      </c>
      <c r="W211" s="580">
        <v>930788.88888888899</v>
      </c>
      <c r="X211" s="580">
        <v>930788.88888888888</v>
      </c>
      <c r="Y211" s="580">
        <v>930788.88888888888</v>
      </c>
      <c r="Z211" s="580">
        <f t="shared" si="54"/>
        <v>930788.88888888888</v>
      </c>
      <c r="AA211" s="580">
        <f t="shared" si="54"/>
        <v>930788.88888888888</v>
      </c>
      <c r="AB211" s="580">
        <f t="shared" si="54"/>
        <v>930788.88888888888</v>
      </c>
      <c r="AC211" s="580">
        <f t="shared" si="54"/>
        <v>930788.88888888888</v>
      </c>
      <c r="AD211" s="580">
        <f t="shared" si="54"/>
        <v>930788.88888888888</v>
      </c>
      <c r="AE211" s="580">
        <f t="shared" si="54"/>
        <v>930788.88888888888</v>
      </c>
      <c r="AF211" s="822"/>
      <c r="AG211" s="828"/>
      <c r="AH211" s="822"/>
      <c r="AI211" s="822"/>
      <c r="AJ211" s="822"/>
      <c r="AK211" s="806"/>
      <c r="AL211" s="806"/>
      <c r="AM211" s="806"/>
      <c r="AN211" s="806"/>
      <c r="AO211" s="806"/>
      <c r="AP211" s="806"/>
      <c r="AQ211" s="806"/>
      <c r="AR211" s="806"/>
      <c r="AS211" s="806"/>
      <c r="AT211" s="806"/>
      <c r="AU211" s="806"/>
      <c r="AV211" s="806"/>
      <c r="AW211" s="806"/>
      <c r="AX211" s="806"/>
      <c r="AY211" s="584"/>
    </row>
    <row r="212" spans="1:51" ht="28.9" customHeight="1" x14ac:dyDescent="0.25">
      <c r="A212" s="828"/>
      <c r="B212" s="822"/>
      <c r="C212" s="822"/>
      <c r="D212" s="579" t="s">
        <v>353</v>
      </c>
      <c r="E212" s="582"/>
      <c r="F212" s="582"/>
      <c r="G212" s="582"/>
      <c r="H212" s="582">
        <v>1</v>
      </c>
      <c r="I212" s="580">
        <v>1</v>
      </c>
      <c r="J212" s="580">
        <v>2</v>
      </c>
      <c r="K212" s="598">
        <v>2</v>
      </c>
      <c r="L212" s="580">
        <v>3</v>
      </c>
      <c r="M212" s="580">
        <v>4</v>
      </c>
      <c r="N212" s="586">
        <v>5</v>
      </c>
      <c r="O212" s="586">
        <v>6</v>
      </c>
      <c r="P212" s="581">
        <v>6</v>
      </c>
      <c r="Q212" s="581">
        <v>6</v>
      </c>
      <c r="R212" s="581">
        <v>6</v>
      </c>
      <c r="S212" s="581"/>
      <c r="T212" s="581"/>
      <c r="U212" s="580">
        <v>1</v>
      </c>
      <c r="V212" s="580">
        <v>2</v>
      </c>
      <c r="W212" s="580">
        <v>2</v>
      </c>
      <c r="X212" s="580">
        <v>2</v>
      </c>
      <c r="Y212" s="580">
        <v>3</v>
      </c>
      <c r="Z212" s="580">
        <f t="shared" ref="Z212:AE227" si="57">+M212</f>
        <v>4</v>
      </c>
      <c r="AA212" s="581">
        <f t="shared" si="57"/>
        <v>5</v>
      </c>
      <c r="AB212" s="580">
        <f t="shared" si="57"/>
        <v>6</v>
      </c>
      <c r="AC212" s="580">
        <f t="shared" si="57"/>
        <v>6</v>
      </c>
      <c r="AD212" s="580">
        <f t="shared" si="57"/>
        <v>6</v>
      </c>
      <c r="AE212" s="581">
        <f t="shared" si="57"/>
        <v>6</v>
      </c>
      <c r="AF212" s="822"/>
      <c r="AG212" s="828"/>
      <c r="AH212" s="822"/>
      <c r="AI212" s="822"/>
      <c r="AJ212" s="822"/>
      <c r="AK212" s="806"/>
      <c r="AL212" s="806"/>
      <c r="AM212" s="806"/>
      <c r="AN212" s="806"/>
      <c r="AO212" s="806"/>
      <c r="AP212" s="806"/>
      <c r="AQ212" s="806"/>
      <c r="AR212" s="806"/>
      <c r="AS212" s="806"/>
      <c r="AT212" s="806"/>
      <c r="AU212" s="806"/>
      <c r="AV212" s="806"/>
      <c r="AW212" s="806"/>
      <c r="AX212" s="806"/>
      <c r="AY212" s="584"/>
    </row>
    <row r="213" spans="1:51" ht="28.9" customHeight="1" x14ac:dyDescent="0.25">
      <c r="A213" s="828"/>
      <c r="B213" s="822"/>
      <c r="C213" s="823"/>
      <c r="D213" s="578" t="s">
        <v>354</v>
      </c>
      <c r="E213" s="582"/>
      <c r="F213" s="582"/>
      <c r="G213" s="582"/>
      <c r="H213" s="582">
        <v>4322327.35042735</v>
      </c>
      <c r="I213" s="580">
        <v>11105404.273504272</v>
      </c>
      <c r="J213" s="580">
        <v>7713865.811965812</v>
      </c>
      <c r="K213" s="580">
        <v>6018096.581196581</v>
      </c>
      <c r="L213" s="580">
        <v>7035558.11965812</v>
      </c>
      <c r="M213" s="580">
        <f t="shared" ref="M213:R213" si="58">+M209+M211</f>
        <v>7713865.811965812</v>
      </c>
      <c r="N213" s="582">
        <f t="shared" si="58"/>
        <v>8198371.3064713068</v>
      </c>
      <c r="O213" s="582">
        <f t="shared" si="58"/>
        <v>8561750.4273504261</v>
      </c>
      <c r="P213" s="580">
        <f t="shared" si="58"/>
        <v>7713865.811965812</v>
      </c>
      <c r="Q213" s="580">
        <f t="shared" si="58"/>
        <v>7179765.2668416454</v>
      </c>
      <c r="R213" s="580">
        <f t="shared" si="58"/>
        <v>7705051.6626115171</v>
      </c>
      <c r="S213" s="580"/>
      <c r="T213" s="580"/>
      <c r="U213" s="580">
        <v>4322327.35042735</v>
      </c>
      <c r="V213" s="580">
        <v>11105404.273504272</v>
      </c>
      <c r="W213" s="580">
        <v>7713865.811965812</v>
      </c>
      <c r="X213" s="580">
        <v>6018096.581196581</v>
      </c>
      <c r="Y213" s="580">
        <v>7035558.11965812</v>
      </c>
      <c r="Z213" s="580">
        <f t="shared" si="57"/>
        <v>7713865.811965812</v>
      </c>
      <c r="AA213" s="580">
        <f t="shared" si="57"/>
        <v>8198371.3064713068</v>
      </c>
      <c r="AB213" s="580">
        <f t="shared" si="57"/>
        <v>8561750.4273504261</v>
      </c>
      <c r="AC213" s="580">
        <f t="shared" si="57"/>
        <v>7713865.811965812</v>
      </c>
      <c r="AD213" s="580">
        <f t="shared" si="57"/>
        <v>7179765.2668416454</v>
      </c>
      <c r="AE213" s="580">
        <f t="shared" si="57"/>
        <v>7705051.6626115171</v>
      </c>
      <c r="AF213" s="823"/>
      <c r="AG213" s="829"/>
      <c r="AH213" s="823"/>
      <c r="AI213" s="823"/>
      <c r="AJ213" s="823"/>
      <c r="AK213" s="807"/>
      <c r="AL213" s="807"/>
      <c r="AM213" s="807"/>
      <c r="AN213" s="807"/>
      <c r="AO213" s="807"/>
      <c r="AP213" s="807"/>
      <c r="AQ213" s="807"/>
      <c r="AR213" s="807"/>
      <c r="AS213" s="807"/>
      <c r="AT213" s="807"/>
      <c r="AU213" s="807"/>
      <c r="AV213" s="807"/>
      <c r="AW213" s="807"/>
      <c r="AX213" s="807"/>
      <c r="AY213" s="584"/>
    </row>
    <row r="214" spans="1:51" ht="19.149999999999999" customHeight="1" x14ac:dyDescent="0.25">
      <c r="A214" s="828"/>
      <c r="B214" s="822"/>
      <c r="C214" s="821" t="s">
        <v>653</v>
      </c>
      <c r="D214" s="572" t="s">
        <v>345</v>
      </c>
      <c r="E214" s="582"/>
      <c r="F214" s="582"/>
      <c r="G214" s="582"/>
      <c r="H214" s="582">
        <v>1</v>
      </c>
      <c r="I214" s="580">
        <v>2</v>
      </c>
      <c r="J214" s="580">
        <v>3</v>
      </c>
      <c r="K214" s="598">
        <v>3</v>
      </c>
      <c r="L214" s="580">
        <v>3</v>
      </c>
      <c r="M214" s="580">
        <v>3</v>
      </c>
      <c r="N214" s="586">
        <v>3</v>
      </c>
      <c r="O214" s="582">
        <v>4</v>
      </c>
      <c r="P214" s="580">
        <v>4</v>
      </c>
      <c r="Q214" s="580">
        <v>4</v>
      </c>
      <c r="R214" s="580">
        <v>5</v>
      </c>
      <c r="S214" s="580"/>
      <c r="T214" s="581"/>
      <c r="U214" s="580">
        <v>1</v>
      </c>
      <c r="V214" s="580">
        <v>2</v>
      </c>
      <c r="W214" s="580">
        <v>3</v>
      </c>
      <c r="X214" s="580">
        <v>3</v>
      </c>
      <c r="Y214" s="580">
        <v>3</v>
      </c>
      <c r="Z214" s="580">
        <f t="shared" si="57"/>
        <v>3</v>
      </c>
      <c r="AA214" s="581">
        <f t="shared" si="57"/>
        <v>3</v>
      </c>
      <c r="AB214" s="580">
        <f t="shared" si="57"/>
        <v>4</v>
      </c>
      <c r="AC214" s="580">
        <f t="shared" si="57"/>
        <v>4</v>
      </c>
      <c r="AD214" s="580">
        <f t="shared" si="57"/>
        <v>4</v>
      </c>
      <c r="AE214" s="580">
        <f t="shared" si="57"/>
        <v>5</v>
      </c>
      <c r="AF214" s="894" t="s">
        <v>654</v>
      </c>
      <c r="AG214" s="890" t="s">
        <v>653</v>
      </c>
      <c r="AH214" s="824" t="s">
        <v>655</v>
      </c>
      <c r="AI214" s="824" t="s">
        <v>656</v>
      </c>
      <c r="AJ214" s="821" t="s">
        <v>610</v>
      </c>
      <c r="AK214" s="826" t="s">
        <v>490</v>
      </c>
      <c r="AL214" s="826" t="s">
        <v>178</v>
      </c>
      <c r="AM214" s="826" t="s">
        <v>491</v>
      </c>
      <c r="AN214" s="861">
        <v>166428</v>
      </c>
      <c r="AO214" s="861">
        <v>69653</v>
      </c>
      <c r="AP214" s="861">
        <v>96775</v>
      </c>
      <c r="AQ214" s="840" t="s">
        <v>492</v>
      </c>
      <c r="AR214" s="840" t="s">
        <v>492</v>
      </c>
      <c r="AS214" s="840" t="s">
        <v>492</v>
      </c>
      <c r="AT214" s="840" t="s">
        <v>492</v>
      </c>
      <c r="AU214" s="833" t="s">
        <v>492</v>
      </c>
      <c r="AV214" s="833" t="s">
        <v>492</v>
      </c>
      <c r="AW214" s="833" t="s">
        <v>492</v>
      </c>
      <c r="AX214" s="861">
        <v>166428</v>
      </c>
      <c r="AY214" s="584"/>
    </row>
    <row r="215" spans="1:51" ht="19.149999999999999" customHeight="1" x14ac:dyDescent="0.25">
      <c r="A215" s="828"/>
      <c r="B215" s="822"/>
      <c r="C215" s="822"/>
      <c r="D215" s="578" t="s">
        <v>349</v>
      </c>
      <c r="E215" s="582"/>
      <c r="F215" s="582"/>
      <c r="G215" s="582"/>
      <c r="H215" s="582">
        <v>3391538.4615384615</v>
      </c>
      <c r="I215" s="580">
        <v>10174615.384615384</v>
      </c>
      <c r="J215" s="580">
        <v>10174615.384615384</v>
      </c>
      <c r="K215" s="580">
        <v>7630961.538461538</v>
      </c>
      <c r="L215" s="580">
        <v>6104769.230769231</v>
      </c>
      <c r="M215" s="580">
        <f>+M214*$Z$143/$Z$142</f>
        <v>5087307.692307692</v>
      </c>
      <c r="N215" s="582">
        <f>+N214*$AA$143/$AA$142</f>
        <v>4360549.4505494507</v>
      </c>
      <c r="O215" s="582">
        <f>+O214*$AB$143/$AB$142</f>
        <v>5087307.692307692</v>
      </c>
      <c r="P215" s="580">
        <f>+P214*$AC$143/$AC$142</f>
        <v>4522051.282051282</v>
      </c>
      <c r="Q215" s="580">
        <f>+Q214*$AD$143/$AD$142</f>
        <v>4165984.2519685039</v>
      </c>
      <c r="R215" s="580">
        <f>+R214*$AE$143/$AE$142</f>
        <v>5645218.9781021895</v>
      </c>
      <c r="S215" s="580"/>
      <c r="T215" s="581"/>
      <c r="U215" s="580">
        <v>3391538.4615384615</v>
      </c>
      <c r="V215" s="580">
        <v>10174615.384615384</v>
      </c>
      <c r="W215" s="580">
        <v>10174615.384615384</v>
      </c>
      <c r="X215" s="580">
        <v>7630961.538461538</v>
      </c>
      <c r="Y215" s="580">
        <v>6104769.230769231</v>
      </c>
      <c r="Z215" s="580">
        <f t="shared" si="57"/>
        <v>5087307.692307692</v>
      </c>
      <c r="AA215" s="580">
        <f t="shared" si="57"/>
        <v>4360549.4505494507</v>
      </c>
      <c r="AB215" s="580">
        <f t="shared" si="57"/>
        <v>5087307.692307692</v>
      </c>
      <c r="AC215" s="580">
        <f t="shared" si="57"/>
        <v>4522051.282051282</v>
      </c>
      <c r="AD215" s="580">
        <f t="shared" si="57"/>
        <v>4165984.2519685039</v>
      </c>
      <c r="AE215" s="580">
        <f t="shared" si="57"/>
        <v>5645218.9781021895</v>
      </c>
      <c r="AF215" s="822"/>
      <c r="AG215" s="828"/>
      <c r="AH215" s="822"/>
      <c r="AI215" s="822"/>
      <c r="AJ215" s="822"/>
      <c r="AK215" s="806"/>
      <c r="AL215" s="806"/>
      <c r="AM215" s="806"/>
      <c r="AN215" s="806"/>
      <c r="AO215" s="806"/>
      <c r="AP215" s="806"/>
      <c r="AQ215" s="806"/>
      <c r="AR215" s="806"/>
      <c r="AS215" s="806"/>
      <c r="AT215" s="806"/>
      <c r="AU215" s="806"/>
      <c r="AV215" s="806"/>
      <c r="AW215" s="806"/>
      <c r="AX215" s="806"/>
      <c r="AY215" s="584"/>
    </row>
    <row r="216" spans="1:51" ht="28.9" customHeight="1" x14ac:dyDescent="0.25">
      <c r="A216" s="828"/>
      <c r="B216" s="822"/>
      <c r="C216" s="822"/>
      <c r="D216" s="579" t="s">
        <v>351</v>
      </c>
      <c r="E216" s="582"/>
      <c r="F216" s="582"/>
      <c r="G216" s="582"/>
      <c r="H216" s="582"/>
      <c r="I216" s="580"/>
      <c r="J216" s="580"/>
      <c r="K216" s="598"/>
      <c r="L216" s="580"/>
      <c r="M216" s="580"/>
      <c r="N216" s="586"/>
      <c r="O216" s="582"/>
      <c r="P216" s="580"/>
      <c r="Q216" s="580"/>
      <c r="R216" s="580"/>
      <c r="S216" s="580"/>
      <c r="T216" s="581"/>
      <c r="U216" s="580">
        <v>0</v>
      </c>
      <c r="V216" s="580">
        <v>0</v>
      </c>
      <c r="W216" s="580">
        <v>0</v>
      </c>
      <c r="X216" s="580">
        <v>0</v>
      </c>
      <c r="Y216" s="580">
        <v>0</v>
      </c>
      <c r="Z216" s="580">
        <f t="shared" si="57"/>
        <v>0</v>
      </c>
      <c r="AA216" s="581">
        <f t="shared" si="57"/>
        <v>0</v>
      </c>
      <c r="AB216" s="580">
        <f t="shared" si="57"/>
        <v>0</v>
      </c>
      <c r="AC216" s="580">
        <f t="shared" si="57"/>
        <v>0</v>
      </c>
      <c r="AD216" s="580">
        <f t="shared" si="57"/>
        <v>0</v>
      </c>
      <c r="AE216" s="580">
        <f t="shared" si="57"/>
        <v>0</v>
      </c>
      <c r="AF216" s="822"/>
      <c r="AG216" s="828"/>
      <c r="AH216" s="822"/>
      <c r="AI216" s="822"/>
      <c r="AJ216" s="822"/>
      <c r="AK216" s="806"/>
      <c r="AL216" s="806"/>
      <c r="AM216" s="806"/>
      <c r="AN216" s="806"/>
      <c r="AO216" s="806"/>
      <c r="AP216" s="806"/>
      <c r="AQ216" s="806"/>
      <c r="AR216" s="806"/>
      <c r="AS216" s="806"/>
      <c r="AT216" s="806"/>
      <c r="AU216" s="806"/>
      <c r="AV216" s="806"/>
      <c r="AW216" s="806"/>
      <c r="AX216" s="806"/>
      <c r="AY216" s="584"/>
    </row>
    <row r="217" spans="1:51" ht="28.9" customHeight="1" x14ac:dyDescent="0.25">
      <c r="A217" s="828"/>
      <c r="B217" s="822"/>
      <c r="C217" s="822"/>
      <c r="D217" s="578" t="s">
        <v>352</v>
      </c>
      <c r="E217" s="582"/>
      <c r="F217" s="582"/>
      <c r="G217" s="582"/>
      <c r="H217" s="582">
        <v>930788.88888888888</v>
      </c>
      <c r="I217" s="580">
        <v>930788.88888888899</v>
      </c>
      <c r="J217" s="580">
        <v>930788.88888888899</v>
      </c>
      <c r="K217" s="598">
        <v>930788.88888888888</v>
      </c>
      <c r="L217" s="580">
        <v>930788.88888888888</v>
      </c>
      <c r="M217" s="580">
        <v>930788.88888888888</v>
      </c>
      <c r="N217" s="582">
        <v>930788.88888888888</v>
      </c>
      <c r="O217" s="582">
        <v>930788.88888888888</v>
      </c>
      <c r="P217" s="580">
        <v>930788.88888888888</v>
      </c>
      <c r="Q217" s="580">
        <v>930788.88888888888</v>
      </c>
      <c r="R217" s="580">
        <v>930788.88888888888</v>
      </c>
      <c r="S217" s="580"/>
      <c r="T217" s="581"/>
      <c r="U217" s="580">
        <v>930788.88888888888</v>
      </c>
      <c r="V217" s="580">
        <v>930788.88888888899</v>
      </c>
      <c r="W217" s="580">
        <v>930788.88888888899</v>
      </c>
      <c r="X217" s="580">
        <v>930788.88888888888</v>
      </c>
      <c r="Y217" s="580">
        <v>930788.88888888888</v>
      </c>
      <c r="Z217" s="580">
        <f t="shared" si="57"/>
        <v>930788.88888888888</v>
      </c>
      <c r="AA217" s="580">
        <f t="shared" si="57"/>
        <v>930788.88888888888</v>
      </c>
      <c r="AB217" s="580">
        <f t="shared" si="57"/>
        <v>930788.88888888888</v>
      </c>
      <c r="AC217" s="580">
        <f t="shared" si="57"/>
        <v>930788.88888888888</v>
      </c>
      <c r="AD217" s="580">
        <f t="shared" si="57"/>
        <v>930788.88888888888</v>
      </c>
      <c r="AE217" s="580">
        <f t="shared" si="57"/>
        <v>930788.88888888888</v>
      </c>
      <c r="AF217" s="822"/>
      <c r="AG217" s="828"/>
      <c r="AH217" s="822"/>
      <c r="AI217" s="822"/>
      <c r="AJ217" s="822"/>
      <c r="AK217" s="806"/>
      <c r="AL217" s="806"/>
      <c r="AM217" s="806"/>
      <c r="AN217" s="806"/>
      <c r="AO217" s="806"/>
      <c r="AP217" s="806"/>
      <c r="AQ217" s="806"/>
      <c r="AR217" s="806"/>
      <c r="AS217" s="806"/>
      <c r="AT217" s="806"/>
      <c r="AU217" s="806"/>
      <c r="AV217" s="806"/>
      <c r="AW217" s="806"/>
      <c r="AX217" s="806"/>
      <c r="AY217" s="584"/>
    </row>
    <row r="218" spans="1:51" ht="28.9" customHeight="1" x14ac:dyDescent="0.25">
      <c r="A218" s="828"/>
      <c r="B218" s="822"/>
      <c r="C218" s="822"/>
      <c r="D218" s="579" t="s">
        <v>353</v>
      </c>
      <c r="E218" s="582"/>
      <c r="F218" s="582"/>
      <c r="G218" s="582"/>
      <c r="H218" s="582">
        <v>1</v>
      </c>
      <c r="I218" s="580">
        <v>1</v>
      </c>
      <c r="J218" s="580">
        <v>3</v>
      </c>
      <c r="K218" s="598">
        <v>3</v>
      </c>
      <c r="L218" s="580">
        <v>3</v>
      </c>
      <c r="M218" s="580">
        <v>3</v>
      </c>
      <c r="N218" s="582">
        <v>3</v>
      </c>
      <c r="O218" s="582">
        <v>4</v>
      </c>
      <c r="P218" s="580">
        <v>4</v>
      </c>
      <c r="Q218" s="580">
        <v>4</v>
      </c>
      <c r="R218" s="580">
        <v>5</v>
      </c>
      <c r="S218" s="580"/>
      <c r="T218" s="581"/>
      <c r="U218" s="580">
        <v>1</v>
      </c>
      <c r="V218" s="580">
        <v>2</v>
      </c>
      <c r="W218" s="580">
        <v>3</v>
      </c>
      <c r="X218" s="580">
        <v>3</v>
      </c>
      <c r="Y218" s="580">
        <v>3</v>
      </c>
      <c r="Z218" s="580">
        <f t="shared" si="57"/>
        <v>3</v>
      </c>
      <c r="AA218" s="580">
        <f t="shared" si="57"/>
        <v>3</v>
      </c>
      <c r="AB218" s="580">
        <f t="shared" si="57"/>
        <v>4</v>
      </c>
      <c r="AC218" s="580">
        <f t="shared" si="57"/>
        <v>4</v>
      </c>
      <c r="AD218" s="580">
        <f t="shared" si="57"/>
        <v>4</v>
      </c>
      <c r="AE218" s="580">
        <f t="shared" si="57"/>
        <v>5</v>
      </c>
      <c r="AF218" s="822"/>
      <c r="AG218" s="828"/>
      <c r="AH218" s="822"/>
      <c r="AI218" s="822"/>
      <c r="AJ218" s="822"/>
      <c r="AK218" s="806"/>
      <c r="AL218" s="806"/>
      <c r="AM218" s="806"/>
      <c r="AN218" s="806"/>
      <c r="AO218" s="806"/>
      <c r="AP218" s="806"/>
      <c r="AQ218" s="806"/>
      <c r="AR218" s="806"/>
      <c r="AS218" s="806"/>
      <c r="AT218" s="806"/>
      <c r="AU218" s="806"/>
      <c r="AV218" s="806"/>
      <c r="AW218" s="806"/>
      <c r="AX218" s="806"/>
      <c r="AY218" s="584"/>
    </row>
    <row r="219" spans="1:51" ht="28.9" customHeight="1" x14ac:dyDescent="0.25">
      <c r="A219" s="828"/>
      <c r="B219" s="822"/>
      <c r="C219" s="823"/>
      <c r="D219" s="578" t="s">
        <v>354</v>
      </c>
      <c r="E219" s="582"/>
      <c r="F219" s="582"/>
      <c r="G219" s="582"/>
      <c r="H219" s="582">
        <v>4322327.35042735</v>
      </c>
      <c r="I219" s="580">
        <v>11105404.273504272</v>
      </c>
      <c r="J219" s="580">
        <v>11105404.273504272</v>
      </c>
      <c r="K219" s="580">
        <v>8561750.4273504261</v>
      </c>
      <c r="L219" s="580">
        <v>7035558.11965812</v>
      </c>
      <c r="M219" s="580">
        <f t="shared" ref="M219:R219" si="59">+M215+M217</f>
        <v>6018096.581196581</v>
      </c>
      <c r="N219" s="582">
        <f t="shared" si="59"/>
        <v>5291338.3394383397</v>
      </c>
      <c r="O219" s="582">
        <f t="shared" si="59"/>
        <v>6018096.581196581</v>
      </c>
      <c r="P219" s="580">
        <f t="shared" si="59"/>
        <v>5452840.170940171</v>
      </c>
      <c r="Q219" s="580">
        <f t="shared" si="59"/>
        <v>5096773.1408573929</v>
      </c>
      <c r="R219" s="580">
        <f t="shared" si="59"/>
        <v>6576007.8669910785</v>
      </c>
      <c r="S219" s="580"/>
      <c r="T219" s="581"/>
      <c r="U219" s="580">
        <v>4322327.35042735</v>
      </c>
      <c r="V219" s="580">
        <v>11105404.273504272</v>
      </c>
      <c r="W219" s="580">
        <v>11105404.273504272</v>
      </c>
      <c r="X219" s="580">
        <v>8561750.4273504261</v>
      </c>
      <c r="Y219" s="580">
        <v>7035558.11965812</v>
      </c>
      <c r="Z219" s="580">
        <f t="shared" si="57"/>
        <v>6018096.581196581</v>
      </c>
      <c r="AA219" s="580">
        <f t="shared" si="57"/>
        <v>5291338.3394383397</v>
      </c>
      <c r="AB219" s="580">
        <f t="shared" si="57"/>
        <v>6018096.581196581</v>
      </c>
      <c r="AC219" s="580">
        <f t="shared" si="57"/>
        <v>5452840.170940171</v>
      </c>
      <c r="AD219" s="580">
        <f t="shared" si="57"/>
        <v>5096773.1408573929</v>
      </c>
      <c r="AE219" s="580">
        <f t="shared" si="57"/>
        <v>6576007.8669910785</v>
      </c>
      <c r="AF219" s="823"/>
      <c r="AG219" s="829"/>
      <c r="AH219" s="823"/>
      <c r="AI219" s="823"/>
      <c r="AJ219" s="823"/>
      <c r="AK219" s="807"/>
      <c r="AL219" s="807"/>
      <c r="AM219" s="807"/>
      <c r="AN219" s="807"/>
      <c r="AO219" s="807"/>
      <c r="AP219" s="807"/>
      <c r="AQ219" s="807"/>
      <c r="AR219" s="807"/>
      <c r="AS219" s="807"/>
      <c r="AT219" s="807"/>
      <c r="AU219" s="807"/>
      <c r="AV219" s="807"/>
      <c r="AW219" s="807"/>
      <c r="AX219" s="807"/>
      <c r="AY219" s="584"/>
    </row>
    <row r="220" spans="1:51" ht="19.149999999999999" customHeight="1" x14ac:dyDescent="0.25">
      <c r="A220" s="828"/>
      <c r="B220" s="822"/>
      <c r="C220" s="821" t="s">
        <v>657</v>
      </c>
      <c r="D220" s="572" t="s">
        <v>345</v>
      </c>
      <c r="E220" s="582"/>
      <c r="F220" s="582"/>
      <c r="G220" s="582"/>
      <c r="H220" s="582"/>
      <c r="I220" s="580"/>
      <c r="J220" s="580"/>
      <c r="K220" s="598">
        <v>2</v>
      </c>
      <c r="L220" s="580">
        <v>2</v>
      </c>
      <c r="M220" s="580">
        <v>3</v>
      </c>
      <c r="N220" s="586">
        <v>3</v>
      </c>
      <c r="O220" s="582">
        <v>4</v>
      </c>
      <c r="P220" s="580">
        <v>4</v>
      </c>
      <c r="Q220" s="580">
        <v>4</v>
      </c>
      <c r="R220" s="580">
        <v>4</v>
      </c>
      <c r="S220" s="580"/>
      <c r="T220" s="581"/>
      <c r="U220" s="580">
        <v>0</v>
      </c>
      <c r="V220" s="580">
        <v>0</v>
      </c>
      <c r="W220" s="580">
        <v>0</v>
      </c>
      <c r="X220" s="580">
        <v>2</v>
      </c>
      <c r="Y220" s="580">
        <v>2</v>
      </c>
      <c r="Z220" s="580">
        <f t="shared" si="57"/>
        <v>3</v>
      </c>
      <c r="AA220" s="581">
        <f t="shared" si="57"/>
        <v>3</v>
      </c>
      <c r="AB220" s="580">
        <f t="shared" si="57"/>
        <v>4</v>
      </c>
      <c r="AC220" s="580">
        <f t="shared" si="57"/>
        <v>4</v>
      </c>
      <c r="AD220" s="580">
        <f t="shared" si="57"/>
        <v>4</v>
      </c>
      <c r="AE220" s="580">
        <f t="shared" si="57"/>
        <v>4</v>
      </c>
      <c r="AF220" s="894" t="s">
        <v>658</v>
      </c>
      <c r="AG220" s="827" t="s">
        <v>659</v>
      </c>
      <c r="AH220" s="824" t="s">
        <v>660</v>
      </c>
      <c r="AI220" s="824" t="s">
        <v>661</v>
      </c>
      <c r="AJ220" s="821" t="s">
        <v>610</v>
      </c>
      <c r="AK220" s="826" t="s">
        <v>490</v>
      </c>
      <c r="AL220" s="826" t="s">
        <v>178</v>
      </c>
      <c r="AM220" s="826" t="s">
        <v>491</v>
      </c>
      <c r="AN220" s="820">
        <v>256731</v>
      </c>
      <c r="AO220" s="820">
        <v>127095</v>
      </c>
      <c r="AP220" s="861">
        <v>129636</v>
      </c>
      <c r="AQ220" s="840" t="s">
        <v>492</v>
      </c>
      <c r="AR220" s="840" t="s">
        <v>492</v>
      </c>
      <c r="AS220" s="840" t="s">
        <v>492</v>
      </c>
      <c r="AT220" s="840" t="s">
        <v>492</v>
      </c>
      <c r="AU220" s="833" t="s">
        <v>492</v>
      </c>
      <c r="AV220" s="833" t="s">
        <v>492</v>
      </c>
      <c r="AW220" s="833" t="s">
        <v>492</v>
      </c>
      <c r="AX220" s="820">
        <v>255123</v>
      </c>
      <c r="AY220" s="584"/>
    </row>
    <row r="221" spans="1:51" ht="19.149999999999999" customHeight="1" x14ac:dyDescent="0.25">
      <c r="A221" s="828"/>
      <c r="B221" s="822"/>
      <c r="C221" s="822"/>
      <c r="D221" s="578" t="s">
        <v>349</v>
      </c>
      <c r="E221" s="582"/>
      <c r="F221" s="582"/>
      <c r="G221" s="582"/>
      <c r="H221" s="582"/>
      <c r="I221" s="580"/>
      <c r="J221" s="580"/>
      <c r="K221" s="580">
        <v>5087307.692307692</v>
      </c>
      <c r="L221" s="580">
        <v>4069846.153846154</v>
      </c>
      <c r="M221" s="580">
        <f>+M220*$Z$143/$Z$142</f>
        <v>5087307.692307692</v>
      </c>
      <c r="N221" s="582">
        <f>+N220*$AA$143/$AA$142</f>
        <v>4360549.4505494507</v>
      </c>
      <c r="O221" s="582">
        <f>+O220*$AB$143/$AB$142</f>
        <v>5087307.692307692</v>
      </c>
      <c r="P221" s="580">
        <f>+P220*$AC$143/$AC$142</f>
        <v>4522051.282051282</v>
      </c>
      <c r="Q221" s="580">
        <f>+Q220*$AD$143/$AD$142</f>
        <v>4165984.2519685039</v>
      </c>
      <c r="R221" s="580">
        <f>+R220*$AE$143/$AE$142</f>
        <v>4516175.1824817518</v>
      </c>
      <c r="S221" s="580"/>
      <c r="T221" s="581"/>
      <c r="U221" s="580">
        <v>0</v>
      </c>
      <c r="V221" s="580">
        <v>0</v>
      </c>
      <c r="W221" s="580">
        <v>0</v>
      </c>
      <c r="X221" s="580">
        <v>5087307.692307692</v>
      </c>
      <c r="Y221" s="580">
        <v>4069846.153846154</v>
      </c>
      <c r="Z221" s="580">
        <f t="shared" si="57"/>
        <v>5087307.692307692</v>
      </c>
      <c r="AA221" s="580">
        <f t="shared" si="57"/>
        <v>4360549.4505494507</v>
      </c>
      <c r="AB221" s="580">
        <f t="shared" si="57"/>
        <v>5087307.692307692</v>
      </c>
      <c r="AC221" s="580">
        <f t="shared" si="57"/>
        <v>4522051.282051282</v>
      </c>
      <c r="AD221" s="580">
        <f t="shared" si="57"/>
        <v>4165984.2519685039</v>
      </c>
      <c r="AE221" s="580">
        <f t="shared" si="57"/>
        <v>4516175.1824817518</v>
      </c>
      <c r="AF221" s="822"/>
      <c r="AG221" s="828"/>
      <c r="AH221" s="822"/>
      <c r="AI221" s="822"/>
      <c r="AJ221" s="822"/>
      <c r="AK221" s="806"/>
      <c r="AL221" s="806"/>
      <c r="AM221" s="806"/>
      <c r="AN221" s="806"/>
      <c r="AO221" s="806"/>
      <c r="AP221" s="806"/>
      <c r="AQ221" s="806"/>
      <c r="AR221" s="806"/>
      <c r="AS221" s="806"/>
      <c r="AT221" s="806"/>
      <c r="AU221" s="806"/>
      <c r="AV221" s="806"/>
      <c r="AW221" s="806"/>
      <c r="AX221" s="806"/>
      <c r="AY221" s="584"/>
    </row>
    <row r="222" spans="1:51" ht="28.9" customHeight="1" x14ac:dyDescent="0.25">
      <c r="A222" s="828"/>
      <c r="B222" s="822"/>
      <c r="C222" s="822"/>
      <c r="D222" s="579" t="s">
        <v>351</v>
      </c>
      <c r="E222" s="582"/>
      <c r="F222" s="582"/>
      <c r="G222" s="582"/>
      <c r="H222" s="582"/>
      <c r="I222" s="580"/>
      <c r="J222" s="580"/>
      <c r="K222" s="598"/>
      <c r="L222" s="580"/>
      <c r="M222" s="580"/>
      <c r="N222" s="586"/>
      <c r="O222" s="582"/>
      <c r="P222" s="580"/>
      <c r="Q222" s="580"/>
      <c r="R222" s="580"/>
      <c r="S222" s="580"/>
      <c r="T222" s="581"/>
      <c r="U222" s="580">
        <v>0</v>
      </c>
      <c r="V222" s="580">
        <v>0</v>
      </c>
      <c r="W222" s="580">
        <v>0</v>
      </c>
      <c r="X222" s="580">
        <v>0</v>
      </c>
      <c r="Y222" s="580">
        <v>0</v>
      </c>
      <c r="Z222" s="580">
        <f t="shared" si="57"/>
        <v>0</v>
      </c>
      <c r="AA222" s="581">
        <f t="shared" si="57"/>
        <v>0</v>
      </c>
      <c r="AB222" s="580">
        <f t="shared" si="57"/>
        <v>0</v>
      </c>
      <c r="AC222" s="580">
        <f t="shared" si="57"/>
        <v>0</v>
      </c>
      <c r="AD222" s="580">
        <f t="shared" si="57"/>
        <v>0</v>
      </c>
      <c r="AE222" s="580">
        <f t="shared" si="57"/>
        <v>0</v>
      </c>
      <c r="AF222" s="822"/>
      <c r="AG222" s="828"/>
      <c r="AH222" s="822"/>
      <c r="AI222" s="822"/>
      <c r="AJ222" s="822"/>
      <c r="AK222" s="806"/>
      <c r="AL222" s="806"/>
      <c r="AM222" s="806"/>
      <c r="AN222" s="806"/>
      <c r="AO222" s="806"/>
      <c r="AP222" s="806"/>
      <c r="AQ222" s="806"/>
      <c r="AR222" s="806"/>
      <c r="AS222" s="806"/>
      <c r="AT222" s="806"/>
      <c r="AU222" s="806"/>
      <c r="AV222" s="806"/>
      <c r="AW222" s="806"/>
      <c r="AX222" s="806"/>
      <c r="AY222" s="584"/>
    </row>
    <row r="223" spans="1:51" ht="28.9" customHeight="1" x14ac:dyDescent="0.25">
      <c r="A223" s="828"/>
      <c r="B223" s="822"/>
      <c r="C223" s="822"/>
      <c r="D223" s="578" t="s">
        <v>352</v>
      </c>
      <c r="E223" s="582"/>
      <c r="F223" s="582"/>
      <c r="G223" s="582"/>
      <c r="H223" s="582"/>
      <c r="I223" s="580"/>
      <c r="J223" s="580"/>
      <c r="K223" s="598"/>
      <c r="L223" s="580"/>
      <c r="M223" s="580"/>
      <c r="N223" s="582"/>
      <c r="O223" s="582"/>
      <c r="P223" s="580"/>
      <c r="Q223" s="580"/>
      <c r="R223" s="580"/>
      <c r="S223" s="580"/>
      <c r="T223" s="581"/>
      <c r="U223" s="580">
        <v>0</v>
      </c>
      <c r="V223" s="580">
        <v>0</v>
      </c>
      <c r="W223" s="580">
        <v>0</v>
      </c>
      <c r="X223" s="580">
        <v>0</v>
      </c>
      <c r="Y223" s="580">
        <v>0</v>
      </c>
      <c r="Z223" s="580">
        <f t="shared" si="57"/>
        <v>0</v>
      </c>
      <c r="AA223" s="580">
        <f t="shared" si="57"/>
        <v>0</v>
      </c>
      <c r="AB223" s="580">
        <f t="shared" si="57"/>
        <v>0</v>
      </c>
      <c r="AC223" s="580">
        <f t="shared" si="57"/>
        <v>0</v>
      </c>
      <c r="AD223" s="580">
        <f t="shared" si="57"/>
        <v>0</v>
      </c>
      <c r="AE223" s="580">
        <f t="shared" si="57"/>
        <v>0</v>
      </c>
      <c r="AF223" s="822"/>
      <c r="AG223" s="828"/>
      <c r="AH223" s="822"/>
      <c r="AI223" s="822"/>
      <c r="AJ223" s="822"/>
      <c r="AK223" s="806"/>
      <c r="AL223" s="806"/>
      <c r="AM223" s="806"/>
      <c r="AN223" s="806"/>
      <c r="AO223" s="806"/>
      <c r="AP223" s="806"/>
      <c r="AQ223" s="806"/>
      <c r="AR223" s="806"/>
      <c r="AS223" s="806"/>
      <c r="AT223" s="806"/>
      <c r="AU223" s="806"/>
      <c r="AV223" s="806"/>
      <c r="AW223" s="806"/>
      <c r="AX223" s="806"/>
      <c r="AY223" s="584"/>
    </row>
    <row r="224" spans="1:51" ht="28.9" customHeight="1" x14ac:dyDescent="0.25">
      <c r="A224" s="828"/>
      <c r="B224" s="822"/>
      <c r="C224" s="822"/>
      <c r="D224" s="579" t="s">
        <v>353</v>
      </c>
      <c r="E224" s="582"/>
      <c r="F224" s="582"/>
      <c r="G224" s="582"/>
      <c r="H224" s="582"/>
      <c r="I224" s="580"/>
      <c r="J224" s="580"/>
      <c r="K224" s="598">
        <v>2</v>
      </c>
      <c r="L224" s="580">
        <v>2</v>
      </c>
      <c r="M224" s="580">
        <v>3</v>
      </c>
      <c r="N224" s="586">
        <v>3</v>
      </c>
      <c r="O224" s="586">
        <v>4</v>
      </c>
      <c r="P224" s="581">
        <v>4</v>
      </c>
      <c r="Q224" s="581">
        <v>4</v>
      </c>
      <c r="R224" s="581">
        <v>4</v>
      </c>
      <c r="S224" s="581"/>
      <c r="T224" s="581"/>
      <c r="U224" s="580">
        <v>0</v>
      </c>
      <c r="V224" s="580">
        <v>0</v>
      </c>
      <c r="W224" s="580">
        <v>0</v>
      </c>
      <c r="X224" s="580">
        <v>2</v>
      </c>
      <c r="Y224" s="580">
        <v>2</v>
      </c>
      <c r="Z224" s="580">
        <f t="shared" si="57"/>
        <v>3</v>
      </c>
      <c r="AA224" s="581">
        <f t="shared" si="57"/>
        <v>3</v>
      </c>
      <c r="AB224" s="580">
        <f t="shared" si="57"/>
        <v>4</v>
      </c>
      <c r="AC224" s="580">
        <f t="shared" si="57"/>
        <v>4</v>
      </c>
      <c r="AD224" s="580">
        <f t="shared" si="57"/>
        <v>4</v>
      </c>
      <c r="AE224" s="581">
        <f t="shared" si="57"/>
        <v>4</v>
      </c>
      <c r="AF224" s="822"/>
      <c r="AG224" s="828"/>
      <c r="AH224" s="822"/>
      <c r="AI224" s="822"/>
      <c r="AJ224" s="822"/>
      <c r="AK224" s="806"/>
      <c r="AL224" s="806"/>
      <c r="AM224" s="806"/>
      <c r="AN224" s="806"/>
      <c r="AO224" s="806"/>
      <c r="AP224" s="806"/>
      <c r="AQ224" s="806"/>
      <c r="AR224" s="806"/>
      <c r="AS224" s="806"/>
      <c r="AT224" s="806"/>
      <c r="AU224" s="806"/>
      <c r="AV224" s="806"/>
      <c r="AW224" s="806"/>
      <c r="AX224" s="806"/>
      <c r="AY224" s="584"/>
    </row>
    <row r="225" spans="1:51" ht="28.9" customHeight="1" x14ac:dyDescent="0.25">
      <c r="A225" s="828"/>
      <c r="B225" s="822"/>
      <c r="C225" s="823"/>
      <c r="D225" s="578" t="s">
        <v>354</v>
      </c>
      <c r="E225" s="582"/>
      <c r="F225" s="582"/>
      <c r="G225" s="582"/>
      <c r="H225" s="582"/>
      <c r="I225" s="580"/>
      <c r="J225" s="580"/>
      <c r="K225" s="580">
        <v>5087307.692307692</v>
      </c>
      <c r="L225" s="580">
        <v>4069846.153846154</v>
      </c>
      <c r="M225" s="580">
        <f t="shared" ref="M225:R225" si="60">+M221+M223</f>
        <v>5087307.692307692</v>
      </c>
      <c r="N225" s="582">
        <f t="shared" si="60"/>
        <v>4360549.4505494507</v>
      </c>
      <c r="O225" s="582">
        <f t="shared" si="60"/>
        <v>5087307.692307692</v>
      </c>
      <c r="P225" s="580">
        <f t="shared" si="60"/>
        <v>4522051.282051282</v>
      </c>
      <c r="Q225" s="580">
        <f t="shared" si="60"/>
        <v>4165984.2519685039</v>
      </c>
      <c r="R225" s="580">
        <f t="shared" si="60"/>
        <v>4516175.1824817518</v>
      </c>
      <c r="S225" s="580"/>
      <c r="T225" s="581"/>
      <c r="U225" s="580">
        <v>0</v>
      </c>
      <c r="V225" s="580">
        <v>0</v>
      </c>
      <c r="W225" s="580">
        <v>0</v>
      </c>
      <c r="X225" s="580">
        <v>5087307.692307692</v>
      </c>
      <c r="Y225" s="580">
        <v>4069846.153846154</v>
      </c>
      <c r="Z225" s="580">
        <f t="shared" si="57"/>
        <v>5087307.692307692</v>
      </c>
      <c r="AA225" s="580">
        <f t="shared" si="57"/>
        <v>4360549.4505494507</v>
      </c>
      <c r="AB225" s="580">
        <f t="shared" si="57"/>
        <v>5087307.692307692</v>
      </c>
      <c r="AC225" s="580">
        <f t="shared" si="57"/>
        <v>4522051.282051282</v>
      </c>
      <c r="AD225" s="580">
        <f t="shared" si="57"/>
        <v>4165984.2519685039</v>
      </c>
      <c r="AE225" s="580">
        <f t="shared" si="57"/>
        <v>4516175.1824817518</v>
      </c>
      <c r="AF225" s="823"/>
      <c r="AG225" s="829"/>
      <c r="AH225" s="823"/>
      <c r="AI225" s="823"/>
      <c r="AJ225" s="823"/>
      <c r="AK225" s="807"/>
      <c r="AL225" s="807"/>
      <c r="AM225" s="807"/>
      <c r="AN225" s="807"/>
      <c r="AO225" s="807"/>
      <c r="AP225" s="807"/>
      <c r="AQ225" s="807"/>
      <c r="AR225" s="807"/>
      <c r="AS225" s="807"/>
      <c r="AT225" s="807"/>
      <c r="AU225" s="807"/>
      <c r="AV225" s="807"/>
      <c r="AW225" s="807"/>
      <c r="AX225" s="807"/>
      <c r="AY225" s="584"/>
    </row>
    <row r="226" spans="1:51" ht="19.149999999999999" customHeight="1" x14ac:dyDescent="0.25">
      <c r="A226" s="828"/>
      <c r="B226" s="822"/>
      <c r="C226" s="821" t="s">
        <v>588</v>
      </c>
      <c r="D226" s="572" t="s">
        <v>345</v>
      </c>
      <c r="E226" s="582"/>
      <c r="F226" s="582"/>
      <c r="G226" s="582"/>
      <c r="H226" s="582"/>
      <c r="I226" s="580"/>
      <c r="J226" s="580"/>
      <c r="K226" s="598"/>
      <c r="L226" s="580">
        <v>1</v>
      </c>
      <c r="M226" s="580">
        <v>3</v>
      </c>
      <c r="N226" s="586">
        <v>3</v>
      </c>
      <c r="O226" s="582">
        <v>3</v>
      </c>
      <c r="P226" s="580">
        <v>3</v>
      </c>
      <c r="Q226" s="580">
        <v>3</v>
      </c>
      <c r="R226" s="580">
        <v>4</v>
      </c>
      <c r="S226" s="580"/>
      <c r="T226" s="581"/>
      <c r="U226" s="580">
        <v>0</v>
      </c>
      <c r="V226" s="580">
        <v>0</v>
      </c>
      <c r="W226" s="580">
        <v>0</v>
      </c>
      <c r="X226" s="580">
        <v>0</v>
      </c>
      <c r="Y226" s="580">
        <v>1</v>
      </c>
      <c r="Z226" s="580">
        <f t="shared" si="57"/>
        <v>3</v>
      </c>
      <c r="AA226" s="581">
        <f t="shared" si="57"/>
        <v>3</v>
      </c>
      <c r="AB226" s="580">
        <f t="shared" si="57"/>
        <v>3</v>
      </c>
      <c r="AC226" s="580">
        <f t="shared" si="57"/>
        <v>3</v>
      </c>
      <c r="AD226" s="580">
        <f t="shared" si="57"/>
        <v>3</v>
      </c>
      <c r="AE226" s="580">
        <f t="shared" si="57"/>
        <v>4</v>
      </c>
      <c r="AF226" s="842" t="s">
        <v>662</v>
      </c>
      <c r="AG226" s="890" t="s">
        <v>588</v>
      </c>
      <c r="AH226" s="824" t="s">
        <v>663</v>
      </c>
      <c r="AI226" s="824" t="s">
        <v>664</v>
      </c>
      <c r="AJ226" s="821" t="s">
        <v>610</v>
      </c>
      <c r="AK226" s="826" t="s">
        <v>490</v>
      </c>
      <c r="AL226" s="826" t="s">
        <v>665</v>
      </c>
      <c r="AM226" s="826" t="s">
        <v>491</v>
      </c>
      <c r="AN226" s="820">
        <v>389238</v>
      </c>
      <c r="AO226" s="820">
        <v>191448</v>
      </c>
      <c r="AP226" s="820">
        <v>197790</v>
      </c>
      <c r="AQ226" s="840"/>
      <c r="AR226" s="840"/>
      <c r="AS226" s="840"/>
      <c r="AT226" s="840"/>
      <c r="AU226" s="833"/>
      <c r="AV226" s="833"/>
      <c r="AW226" s="833"/>
      <c r="AX226" s="820"/>
      <c r="AY226" s="584"/>
    </row>
    <row r="227" spans="1:51" ht="19.149999999999999" customHeight="1" x14ac:dyDescent="0.25">
      <c r="A227" s="828"/>
      <c r="B227" s="822"/>
      <c r="C227" s="822"/>
      <c r="D227" s="578" t="s">
        <v>349</v>
      </c>
      <c r="E227" s="582"/>
      <c r="F227" s="582"/>
      <c r="G227" s="582"/>
      <c r="H227" s="582"/>
      <c r="I227" s="580"/>
      <c r="J227" s="580"/>
      <c r="K227" s="598"/>
      <c r="L227" s="580">
        <v>2034923.076923077</v>
      </c>
      <c r="M227" s="580">
        <f>+M226*$Z$143/$Z$142</f>
        <v>5087307.692307692</v>
      </c>
      <c r="N227" s="582">
        <f>+N226*$AA$143/$AA$142</f>
        <v>4360549.4505494507</v>
      </c>
      <c r="O227" s="582">
        <f>+O226*$AB$143/$AB$142</f>
        <v>3815480.769230769</v>
      </c>
      <c r="P227" s="580">
        <f>+P226*$AC$143/$AC$142</f>
        <v>3391538.4615384615</v>
      </c>
      <c r="Q227" s="580">
        <f>+Q226*$AD$143/$AD$142</f>
        <v>3124488.1889763782</v>
      </c>
      <c r="R227" s="580">
        <f>+R226*$AE$143/$AE$142</f>
        <v>4516175.1824817518</v>
      </c>
      <c r="S227" s="580"/>
      <c r="T227" s="581"/>
      <c r="U227" s="580">
        <v>0</v>
      </c>
      <c r="V227" s="580">
        <v>0</v>
      </c>
      <c r="W227" s="580">
        <v>0</v>
      </c>
      <c r="X227" s="580">
        <v>0</v>
      </c>
      <c r="Y227" s="580">
        <v>2034923.076923077</v>
      </c>
      <c r="Z227" s="580">
        <f t="shared" si="57"/>
        <v>5087307.692307692</v>
      </c>
      <c r="AA227" s="580">
        <f t="shared" si="57"/>
        <v>4360549.4505494507</v>
      </c>
      <c r="AB227" s="580">
        <f t="shared" si="57"/>
        <v>3815480.769230769</v>
      </c>
      <c r="AC227" s="580">
        <f t="shared" si="57"/>
        <v>3391538.4615384615</v>
      </c>
      <c r="AD227" s="580">
        <f t="shared" si="57"/>
        <v>3124488.1889763782</v>
      </c>
      <c r="AE227" s="580">
        <f t="shared" si="57"/>
        <v>4516175.1824817518</v>
      </c>
      <c r="AF227" s="838"/>
      <c r="AG227" s="828"/>
      <c r="AH227" s="822"/>
      <c r="AI227" s="822"/>
      <c r="AJ227" s="822"/>
      <c r="AK227" s="806"/>
      <c r="AL227" s="806"/>
      <c r="AM227" s="806"/>
      <c r="AN227" s="806"/>
      <c r="AO227" s="806"/>
      <c r="AP227" s="806"/>
      <c r="AQ227" s="806"/>
      <c r="AR227" s="806"/>
      <c r="AS227" s="806"/>
      <c r="AT227" s="806"/>
      <c r="AU227" s="806"/>
      <c r="AV227" s="806"/>
      <c r="AW227" s="806"/>
      <c r="AX227" s="806"/>
      <c r="AY227" s="584"/>
    </row>
    <row r="228" spans="1:51" ht="28.9" customHeight="1" x14ac:dyDescent="0.25">
      <c r="A228" s="828"/>
      <c r="B228" s="822"/>
      <c r="C228" s="822"/>
      <c r="D228" s="579" t="s">
        <v>351</v>
      </c>
      <c r="E228" s="582"/>
      <c r="F228" s="582"/>
      <c r="G228" s="582"/>
      <c r="H228" s="582"/>
      <c r="I228" s="580"/>
      <c r="J228" s="580"/>
      <c r="K228" s="598"/>
      <c r="L228" s="580"/>
      <c r="M228" s="580"/>
      <c r="N228" s="586"/>
      <c r="O228" s="582"/>
      <c r="P228" s="580"/>
      <c r="Q228" s="580"/>
      <c r="R228" s="580"/>
      <c r="S228" s="580"/>
      <c r="T228" s="581"/>
      <c r="U228" s="580">
        <v>0</v>
      </c>
      <c r="V228" s="580">
        <v>0</v>
      </c>
      <c r="W228" s="580">
        <v>0</v>
      </c>
      <c r="X228" s="580">
        <v>0</v>
      </c>
      <c r="Y228" s="580">
        <v>0</v>
      </c>
      <c r="Z228" s="580">
        <f t="shared" ref="Z228:AE237" si="61">+M228</f>
        <v>0</v>
      </c>
      <c r="AA228" s="581">
        <f t="shared" si="61"/>
        <v>0</v>
      </c>
      <c r="AB228" s="580">
        <f t="shared" si="61"/>
        <v>0</v>
      </c>
      <c r="AC228" s="580">
        <f t="shared" si="61"/>
        <v>0</v>
      </c>
      <c r="AD228" s="580">
        <f t="shared" si="61"/>
        <v>0</v>
      </c>
      <c r="AE228" s="580">
        <f t="shared" si="61"/>
        <v>0</v>
      </c>
      <c r="AF228" s="838"/>
      <c r="AG228" s="828"/>
      <c r="AH228" s="822"/>
      <c r="AI228" s="822"/>
      <c r="AJ228" s="822"/>
      <c r="AK228" s="806"/>
      <c r="AL228" s="806"/>
      <c r="AM228" s="806"/>
      <c r="AN228" s="806"/>
      <c r="AO228" s="806"/>
      <c r="AP228" s="806"/>
      <c r="AQ228" s="806"/>
      <c r="AR228" s="806"/>
      <c r="AS228" s="806"/>
      <c r="AT228" s="806"/>
      <c r="AU228" s="806"/>
      <c r="AV228" s="806"/>
      <c r="AW228" s="806"/>
      <c r="AX228" s="806"/>
      <c r="AY228" s="584"/>
    </row>
    <row r="229" spans="1:51" ht="28.9" customHeight="1" x14ac:dyDescent="0.25">
      <c r="A229" s="828"/>
      <c r="B229" s="822"/>
      <c r="C229" s="822"/>
      <c r="D229" s="578" t="s">
        <v>352</v>
      </c>
      <c r="E229" s="582"/>
      <c r="F229" s="582"/>
      <c r="G229" s="582"/>
      <c r="H229" s="582"/>
      <c r="I229" s="580"/>
      <c r="J229" s="580"/>
      <c r="K229" s="598"/>
      <c r="L229" s="580"/>
      <c r="M229" s="580"/>
      <c r="N229" s="582"/>
      <c r="O229" s="582"/>
      <c r="P229" s="580"/>
      <c r="Q229" s="580"/>
      <c r="R229" s="580"/>
      <c r="S229" s="580"/>
      <c r="T229" s="581"/>
      <c r="U229" s="580">
        <v>0</v>
      </c>
      <c r="V229" s="580">
        <v>0</v>
      </c>
      <c r="W229" s="580">
        <v>0</v>
      </c>
      <c r="X229" s="580">
        <v>0</v>
      </c>
      <c r="Y229" s="580">
        <v>0</v>
      </c>
      <c r="Z229" s="580">
        <f t="shared" si="61"/>
        <v>0</v>
      </c>
      <c r="AA229" s="580">
        <f t="shared" si="61"/>
        <v>0</v>
      </c>
      <c r="AB229" s="580">
        <f t="shared" si="61"/>
        <v>0</v>
      </c>
      <c r="AC229" s="580">
        <f t="shared" si="61"/>
        <v>0</v>
      </c>
      <c r="AD229" s="580">
        <f t="shared" si="61"/>
        <v>0</v>
      </c>
      <c r="AE229" s="580">
        <f t="shared" si="61"/>
        <v>0</v>
      </c>
      <c r="AF229" s="838"/>
      <c r="AG229" s="828"/>
      <c r="AH229" s="822"/>
      <c r="AI229" s="822"/>
      <c r="AJ229" s="822"/>
      <c r="AK229" s="806"/>
      <c r="AL229" s="806"/>
      <c r="AM229" s="806"/>
      <c r="AN229" s="806"/>
      <c r="AO229" s="806"/>
      <c r="AP229" s="806"/>
      <c r="AQ229" s="806"/>
      <c r="AR229" s="806"/>
      <c r="AS229" s="806"/>
      <c r="AT229" s="806"/>
      <c r="AU229" s="806"/>
      <c r="AV229" s="806"/>
      <c r="AW229" s="806"/>
      <c r="AX229" s="806"/>
      <c r="AY229" s="584"/>
    </row>
    <row r="230" spans="1:51" ht="28.9" customHeight="1" x14ac:dyDescent="0.25">
      <c r="A230" s="828"/>
      <c r="B230" s="822"/>
      <c r="C230" s="822"/>
      <c r="D230" s="579" t="s">
        <v>353</v>
      </c>
      <c r="E230" s="582"/>
      <c r="F230" s="582"/>
      <c r="G230" s="582"/>
      <c r="H230" s="582"/>
      <c r="I230" s="580"/>
      <c r="J230" s="580"/>
      <c r="K230" s="598"/>
      <c r="L230" s="580">
        <v>1</v>
      </c>
      <c r="M230" s="580">
        <v>3</v>
      </c>
      <c r="N230" s="586">
        <v>3</v>
      </c>
      <c r="O230" s="586">
        <v>3</v>
      </c>
      <c r="P230" s="581">
        <v>3</v>
      </c>
      <c r="Q230" s="581">
        <v>3</v>
      </c>
      <c r="R230" s="581">
        <v>4</v>
      </c>
      <c r="S230" s="581"/>
      <c r="T230" s="581"/>
      <c r="U230" s="580">
        <v>0</v>
      </c>
      <c r="V230" s="580">
        <v>0</v>
      </c>
      <c r="W230" s="580">
        <v>0</v>
      </c>
      <c r="X230" s="580">
        <v>0</v>
      </c>
      <c r="Y230" s="580">
        <v>1</v>
      </c>
      <c r="Z230" s="580">
        <f t="shared" si="61"/>
        <v>3</v>
      </c>
      <c r="AA230" s="581">
        <f t="shared" si="61"/>
        <v>3</v>
      </c>
      <c r="AB230" s="580">
        <f t="shared" si="61"/>
        <v>3</v>
      </c>
      <c r="AC230" s="580">
        <f t="shared" si="61"/>
        <v>3</v>
      </c>
      <c r="AD230" s="580">
        <f t="shared" si="61"/>
        <v>3</v>
      </c>
      <c r="AE230" s="581">
        <f t="shared" si="61"/>
        <v>4</v>
      </c>
      <c r="AF230" s="838"/>
      <c r="AG230" s="828"/>
      <c r="AH230" s="822"/>
      <c r="AI230" s="822"/>
      <c r="AJ230" s="822"/>
      <c r="AK230" s="806"/>
      <c r="AL230" s="806"/>
      <c r="AM230" s="806"/>
      <c r="AN230" s="806"/>
      <c r="AO230" s="806"/>
      <c r="AP230" s="806"/>
      <c r="AQ230" s="806"/>
      <c r="AR230" s="806"/>
      <c r="AS230" s="806"/>
      <c r="AT230" s="806"/>
      <c r="AU230" s="806"/>
      <c r="AV230" s="806"/>
      <c r="AW230" s="806"/>
      <c r="AX230" s="806"/>
      <c r="AY230" s="584"/>
    </row>
    <row r="231" spans="1:51" ht="28.9" customHeight="1" x14ac:dyDescent="0.25">
      <c r="A231" s="828"/>
      <c r="B231" s="822"/>
      <c r="C231" s="823"/>
      <c r="D231" s="578" t="s">
        <v>354</v>
      </c>
      <c r="E231" s="582"/>
      <c r="F231" s="582"/>
      <c r="G231" s="582"/>
      <c r="H231" s="582"/>
      <c r="I231" s="580"/>
      <c r="J231" s="580"/>
      <c r="K231" s="598"/>
      <c r="L231" s="580">
        <v>2034923.076923077</v>
      </c>
      <c r="M231" s="580">
        <f t="shared" ref="M231:R231" si="62">+M227+M229</f>
        <v>5087307.692307692</v>
      </c>
      <c r="N231" s="582">
        <f t="shared" si="62"/>
        <v>4360549.4505494507</v>
      </c>
      <c r="O231" s="582">
        <f t="shared" si="62"/>
        <v>3815480.769230769</v>
      </c>
      <c r="P231" s="580">
        <f t="shared" si="62"/>
        <v>3391538.4615384615</v>
      </c>
      <c r="Q231" s="580">
        <f t="shared" si="62"/>
        <v>3124488.1889763782</v>
      </c>
      <c r="R231" s="580">
        <f t="shared" si="62"/>
        <v>4516175.1824817518</v>
      </c>
      <c r="S231" s="580"/>
      <c r="T231" s="581"/>
      <c r="U231" s="580">
        <v>0</v>
      </c>
      <c r="V231" s="580">
        <v>0</v>
      </c>
      <c r="W231" s="580">
        <v>0</v>
      </c>
      <c r="X231" s="580">
        <v>0</v>
      </c>
      <c r="Y231" s="580">
        <v>2034923.076923077</v>
      </c>
      <c r="Z231" s="580">
        <f t="shared" si="61"/>
        <v>5087307.692307692</v>
      </c>
      <c r="AA231" s="580">
        <f t="shared" si="61"/>
        <v>4360549.4505494507</v>
      </c>
      <c r="AB231" s="580">
        <f t="shared" si="61"/>
        <v>3815480.769230769</v>
      </c>
      <c r="AC231" s="580">
        <f t="shared" si="61"/>
        <v>3391538.4615384615</v>
      </c>
      <c r="AD231" s="580">
        <f t="shared" si="61"/>
        <v>3124488.1889763782</v>
      </c>
      <c r="AE231" s="580">
        <f t="shared" si="61"/>
        <v>4516175.1824817518</v>
      </c>
      <c r="AF231" s="838"/>
      <c r="AG231" s="829"/>
      <c r="AH231" s="823"/>
      <c r="AI231" s="823"/>
      <c r="AJ231" s="823"/>
      <c r="AK231" s="807"/>
      <c r="AL231" s="807"/>
      <c r="AM231" s="807"/>
      <c r="AN231" s="807"/>
      <c r="AO231" s="807"/>
      <c r="AP231" s="807"/>
      <c r="AQ231" s="807"/>
      <c r="AR231" s="807"/>
      <c r="AS231" s="807"/>
      <c r="AT231" s="807"/>
      <c r="AU231" s="807"/>
      <c r="AV231" s="807"/>
      <c r="AW231" s="807"/>
      <c r="AX231" s="807"/>
      <c r="AY231" s="584"/>
    </row>
    <row r="232" spans="1:51" ht="19.149999999999999" customHeight="1" x14ac:dyDescent="0.25">
      <c r="A232" s="828"/>
      <c r="B232" s="822"/>
      <c r="C232" s="821" t="s">
        <v>593</v>
      </c>
      <c r="D232" s="572" t="s">
        <v>345</v>
      </c>
      <c r="E232" s="582"/>
      <c r="F232" s="582"/>
      <c r="G232" s="582"/>
      <c r="H232" s="582">
        <v>1</v>
      </c>
      <c r="I232" s="580">
        <v>2</v>
      </c>
      <c r="J232" s="580">
        <v>2</v>
      </c>
      <c r="K232" s="598">
        <v>2</v>
      </c>
      <c r="L232" s="580">
        <v>3</v>
      </c>
      <c r="M232" s="580">
        <v>5</v>
      </c>
      <c r="N232" s="586">
        <v>8</v>
      </c>
      <c r="O232" s="582">
        <v>9</v>
      </c>
      <c r="P232" s="580">
        <v>10</v>
      </c>
      <c r="Q232" s="580">
        <v>11</v>
      </c>
      <c r="R232" s="580">
        <v>11</v>
      </c>
      <c r="S232" s="580"/>
      <c r="T232" s="581"/>
      <c r="U232" s="580">
        <v>1</v>
      </c>
      <c r="V232" s="580">
        <v>2</v>
      </c>
      <c r="W232" s="580">
        <v>2</v>
      </c>
      <c r="X232" s="580">
        <v>2</v>
      </c>
      <c r="Y232" s="580">
        <v>3</v>
      </c>
      <c r="Z232" s="580">
        <f t="shared" si="61"/>
        <v>5</v>
      </c>
      <c r="AA232" s="581">
        <f t="shared" si="61"/>
        <v>8</v>
      </c>
      <c r="AB232" s="580">
        <f t="shared" si="61"/>
        <v>9</v>
      </c>
      <c r="AC232" s="580">
        <f t="shared" si="61"/>
        <v>10</v>
      </c>
      <c r="AD232" s="580">
        <f t="shared" si="61"/>
        <v>11</v>
      </c>
      <c r="AE232" s="580">
        <f t="shared" si="61"/>
        <v>11</v>
      </c>
      <c r="AF232" s="894" t="s">
        <v>666</v>
      </c>
      <c r="AG232" s="827" t="s">
        <v>667</v>
      </c>
      <c r="AH232" s="824" t="s">
        <v>668</v>
      </c>
      <c r="AI232" s="824" t="s">
        <v>669</v>
      </c>
      <c r="AJ232" s="821" t="s">
        <v>610</v>
      </c>
      <c r="AK232" s="826" t="s">
        <v>490</v>
      </c>
      <c r="AL232" s="893" t="s">
        <v>670</v>
      </c>
      <c r="AM232" s="826" t="s">
        <v>491</v>
      </c>
      <c r="AN232" s="861">
        <v>661592</v>
      </c>
      <c r="AO232" s="861">
        <v>329690</v>
      </c>
      <c r="AP232" s="861">
        <v>331902</v>
      </c>
      <c r="AQ232" s="840" t="s">
        <v>492</v>
      </c>
      <c r="AR232" s="840" t="s">
        <v>492</v>
      </c>
      <c r="AS232" s="840" t="s">
        <v>492</v>
      </c>
      <c r="AT232" s="840" t="s">
        <v>492</v>
      </c>
      <c r="AU232" s="833" t="s">
        <v>492</v>
      </c>
      <c r="AV232" s="833" t="s">
        <v>492</v>
      </c>
      <c r="AW232" s="833" t="s">
        <v>492</v>
      </c>
      <c r="AX232" s="861">
        <v>650967</v>
      </c>
      <c r="AY232" s="584"/>
    </row>
    <row r="233" spans="1:51" ht="19.149999999999999" customHeight="1" x14ac:dyDescent="0.25">
      <c r="A233" s="828"/>
      <c r="B233" s="822"/>
      <c r="C233" s="822"/>
      <c r="D233" s="578" t="s">
        <v>349</v>
      </c>
      <c r="E233" s="582"/>
      <c r="F233" s="582"/>
      <c r="G233" s="582"/>
      <c r="H233" s="582">
        <v>3391538.4615384615</v>
      </c>
      <c r="I233" s="580">
        <v>10174615.384615384</v>
      </c>
      <c r="J233" s="580">
        <v>6783076.923076923</v>
      </c>
      <c r="K233" s="580">
        <v>5087307.692307692</v>
      </c>
      <c r="L233" s="580">
        <v>6104769.230769231</v>
      </c>
      <c r="M233" s="580">
        <f>+M232*$Z$143/$Z$142</f>
        <v>8478846.153846154</v>
      </c>
      <c r="N233" s="582">
        <f>+N232*$AA$143/$AA$142</f>
        <v>11628131.868131869</v>
      </c>
      <c r="O233" s="582">
        <f>+O232*$AB$143/$AB$142</f>
        <v>11446442.307692308</v>
      </c>
      <c r="P233" s="580">
        <f>+P232*$AC$143/$AC$142</f>
        <v>11305128.205128206</v>
      </c>
      <c r="Q233" s="580">
        <f>+Q232*$AD$143/$AD$142</f>
        <v>11456456.692913385</v>
      </c>
      <c r="R233" s="580">
        <f>+R232*$AE$143/$AE$142</f>
        <v>12419481.751824817</v>
      </c>
      <c r="S233" s="580"/>
      <c r="T233" s="580"/>
      <c r="U233" s="580">
        <v>3391538.4615384615</v>
      </c>
      <c r="V233" s="580">
        <v>10174615.384615384</v>
      </c>
      <c r="W233" s="580">
        <v>6783076.923076923</v>
      </c>
      <c r="X233" s="580">
        <v>5087307.692307692</v>
      </c>
      <c r="Y233" s="580">
        <v>6104769.230769231</v>
      </c>
      <c r="Z233" s="580">
        <f t="shared" si="61"/>
        <v>8478846.153846154</v>
      </c>
      <c r="AA233" s="580">
        <f t="shared" si="61"/>
        <v>11628131.868131869</v>
      </c>
      <c r="AB233" s="580">
        <f t="shared" si="61"/>
        <v>11446442.307692308</v>
      </c>
      <c r="AC233" s="580">
        <f t="shared" si="61"/>
        <v>11305128.205128206</v>
      </c>
      <c r="AD233" s="580">
        <f t="shared" si="61"/>
        <v>11456456.692913385</v>
      </c>
      <c r="AE233" s="580">
        <f t="shared" si="61"/>
        <v>12419481.751824817</v>
      </c>
      <c r="AF233" s="822"/>
      <c r="AG233" s="828"/>
      <c r="AH233" s="822"/>
      <c r="AI233" s="822"/>
      <c r="AJ233" s="822"/>
      <c r="AK233" s="806"/>
      <c r="AL233" s="806"/>
      <c r="AM233" s="806"/>
      <c r="AN233" s="806"/>
      <c r="AO233" s="806"/>
      <c r="AP233" s="806"/>
      <c r="AQ233" s="806"/>
      <c r="AR233" s="806"/>
      <c r="AS233" s="806"/>
      <c r="AT233" s="806"/>
      <c r="AU233" s="806"/>
      <c r="AV233" s="806"/>
      <c r="AW233" s="806"/>
      <c r="AX233" s="806"/>
      <c r="AY233" s="584"/>
    </row>
    <row r="234" spans="1:51" ht="28.9" customHeight="1" x14ac:dyDescent="0.25">
      <c r="A234" s="828"/>
      <c r="B234" s="822"/>
      <c r="C234" s="822"/>
      <c r="D234" s="579" t="s">
        <v>351</v>
      </c>
      <c r="E234" s="582"/>
      <c r="F234" s="582"/>
      <c r="G234" s="582"/>
      <c r="H234" s="582"/>
      <c r="I234" s="580"/>
      <c r="J234" s="580"/>
      <c r="K234" s="598"/>
      <c r="L234" s="580"/>
      <c r="M234" s="580"/>
      <c r="N234" s="586"/>
      <c r="O234" s="582"/>
      <c r="P234" s="580"/>
      <c r="Q234" s="580"/>
      <c r="R234" s="580"/>
      <c r="S234" s="580"/>
      <c r="T234" s="581"/>
      <c r="U234" s="580">
        <v>0</v>
      </c>
      <c r="V234" s="580">
        <v>0</v>
      </c>
      <c r="W234" s="580">
        <v>0</v>
      </c>
      <c r="X234" s="580">
        <v>0</v>
      </c>
      <c r="Y234" s="580">
        <v>0</v>
      </c>
      <c r="Z234" s="580">
        <f t="shared" si="61"/>
        <v>0</v>
      </c>
      <c r="AA234" s="581">
        <f t="shared" si="61"/>
        <v>0</v>
      </c>
      <c r="AB234" s="580">
        <f t="shared" si="61"/>
        <v>0</v>
      </c>
      <c r="AC234" s="580">
        <f t="shared" si="61"/>
        <v>0</v>
      </c>
      <c r="AD234" s="580">
        <f t="shared" si="61"/>
        <v>0</v>
      </c>
      <c r="AE234" s="580">
        <f t="shared" si="61"/>
        <v>0</v>
      </c>
      <c r="AF234" s="822"/>
      <c r="AG234" s="828"/>
      <c r="AH234" s="822"/>
      <c r="AI234" s="822"/>
      <c r="AJ234" s="822"/>
      <c r="AK234" s="806"/>
      <c r="AL234" s="806"/>
      <c r="AM234" s="806"/>
      <c r="AN234" s="806"/>
      <c r="AO234" s="806"/>
      <c r="AP234" s="806"/>
      <c r="AQ234" s="806"/>
      <c r="AR234" s="806"/>
      <c r="AS234" s="806"/>
      <c r="AT234" s="806"/>
      <c r="AU234" s="806"/>
      <c r="AV234" s="806"/>
      <c r="AW234" s="806"/>
      <c r="AX234" s="806"/>
      <c r="AY234" s="584"/>
    </row>
    <row r="235" spans="1:51" ht="28.9" customHeight="1" x14ac:dyDescent="0.25">
      <c r="A235" s="828"/>
      <c r="B235" s="822"/>
      <c r="C235" s="822"/>
      <c r="D235" s="578" t="s">
        <v>352</v>
      </c>
      <c r="E235" s="582"/>
      <c r="F235" s="582"/>
      <c r="G235" s="582"/>
      <c r="H235" s="582">
        <v>930788.88888888888</v>
      </c>
      <c r="I235" s="580">
        <v>930788.88888888899</v>
      </c>
      <c r="J235" s="580">
        <v>930788.88888888899</v>
      </c>
      <c r="K235" s="598">
        <v>930788.88888888888</v>
      </c>
      <c r="L235" s="580">
        <v>930788.88888888888</v>
      </c>
      <c r="M235" s="580">
        <v>930788.88888888888</v>
      </c>
      <c r="N235" s="582">
        <v>930788.88888888888</v>
      </c>
      <c r="O235" s="582">
        <v>930788.88888888888</v>
      </c>
      <c r="P235" s="580">
        <v>930788.88888888888</v>
      </c>
      <c r="Q235" s="580">
        <v>930788.88888888888</v>
      </c>
      <c r="R235" s="580">
        <v>930788.88888888888</v>
      </c>
      <c r="S235" s="580"/>
      <c r="T235" s="581"/>
      <c r="U235" s="580">
        <v>930788.88888888888</v>
      </c>
      <c r="V235" s="580">
        <v>930788.88888888899</v>
      </c>
      <c r="W235" s="580">
        <v>930788.88888888899</v>
      </c>
      <c r="X235" s="580">
        <v>930788.88888888888</v>
      </c>
      <c r="Y235" s="580">
        <v>930788.88888888888</v>
      </c>
      <c r="Z235" s="580">
        <f t="shared" si="61"/>
        <v>930788.88888888888</v>
      </c>
      <c r="AA235" s="580">
        <f t="shared" si="61"/>
        <v>930788.88888888888</v>
      </c>
      <c r="AB235" s="580">
        <f t="shared" si="61"/>
        <v>930788.88888888888</v>
      </c>
      <c r="AC235" s="580">
        <f t="shared" si="61"/>
        <v>930788.88888888888</v>
      </c>
      <c r="AD235" s="580">
        <f t="shared" si="61"/>
        <v>930788.88888888888</v>
      </c>
      <c r="AE235" s="580">
        <f t="shared" si="61"/>
        <v>930788.88888888888</v>
      </c>
      <c r="AF235" s="822"/>
      <c r="AG235" s="828"/>
      <c r="AH235" s="822"/>
      <c r="AI235" s="822"/>
      <c r="AJ235" s="822"/>
      <c r="AK235" s="806"/>
      <c r="AL235" s="806"/>
      <c r="AM235" s="806"/>
      <c r="AN235" s="806"/>
      <c r="AO235" s="806"/>
      <c r="AP235" s="806"/>
      <c r="AQ235" s="806"/>
      <c r="AR235" s="806"/>
      <c r="AS235" s="806"/>
      <c r="AT235" s="806"/>
      <c r="AU235" s="806"/>
      <c r="AV235" s="806"/>
      <c r="AW235" s="806"/>
      <c r="AX235" s="806"/>
      <c r="AY235" s="584"/>
    </row>
    <row r="236" spans="1:51" ht="28.9" customHeight="1" x14ac:dyDescent="0.25">
      <c r="A236" s="828"/>
      <c r="B236" s="822"/>
      <c r="C236" s="822"/>
      <c r="D236" s="579" t="s">
        <v>353</v>
      </c>
      <c r="E236" s="582"/>
      <c r="F236" s="582"/>
      <c r="G236" s="582"/>
      <c r="H236" s="582">
        <v>1</v>
      </c>
      <c r="I236" s="580">
        <v>1</v>
      </c>
      <c r="J236" s="580">
        <v>2</v>
      </c>
      <c r="K236" s="598">
        <v>2</v>
      </c>
      <c r="L236" s="580">
        <v>3</v>
      </c>
      <c r="M236" s="580">
        <v>5</v>
      </c>
      <c r="N236" s="586">
        <v>8</v>
      </c>
      <c r="O236" s="586">
        <v>9</v>
      </c>
      <c r="P236" s="581">
        <v>10</v>
      </c>
      <c r="Q236" s="581">
        <v>11</v>
      </c>
      <c r="R236" s="581">
        <v>11</v>
      </c>
      <c r="S236" s="581"/>
      <c r="T236" s="581"/>
      <c r="U236" s="580">
        <v>1</v>
      </c>
      <c r="V236" s="580">
        <v>2</v>
      </c>
      <c r="W236" s="580">
        <v>2</v>
      </c>
      <c r="X236" s="580">
        <v>2</v>
      </c>
      <c r="Y236" s="580">
        <v>3</v>
      </c>
      <c r="Z236" s="580">
        <f t="shared" si="61"/>
        <v>5</v>
      </c>
      <c r="AA236" s="581">
        <f t="shared" si="61"/>
        <v>8</v>
      </c>
      <c r="AB236" s="580">
        <f t="shared" si="61"/>
        <v>9</v>
      </c>
      <c r="AC236" s="580">
        <f t="shared" si="61"/>
        <v>10</v>
      </c>
      <c r="AD236" s="580">
        <f t="shared" si="61"/>
        <v>11</v>
      </c>
      <c r="AE236" s="581">
        <f t="shared" si="61"/>
        <v>11</v>
      </c>
      <c r="AF236" s="822"/>
      <c r="AG236" s="828"/>
      <c r="AH236" s="822"/>
      <c r="AI236" s="822"/>
      <c r="AJ236" s="822"/>
      <c r="AK236" s="806"/>
      <c r="AL236" s="806"/>
      <c r="AM236" s="806"/>
      <c r="AN236" s="806"/>
      <c r="AO236" s="806"/>
      <c r="AP236" s="806"/>
      <c r="AQ236" s="806"/>
      <c r="AR236" s="806"/>
      <c r="AS236" s="806"/>
      <c r="AT236" s="806"/>
      <c r="AU236" s="806"/>
      <c r="AV236" s="806"/>
      <c r="AW236" s="806"/>
      <c r="AX236" s="806"/>
      <c r="AY236" s="584"/>
    </row>
    <row r="237" spans="1:51" ht="28.9" customHeight="1" x14ac:dyDescent="0.25">
      <c r="A237" s="828"/>
      <c r="B237" s="822"/>
      <c r="C237" s="823"/>
      <c r="D237" s="578" t="s">
        <v>354</v>
      </c>
      <c r="E237" s="582"/>
      <c r="F237" s="582"/>
      <c r="G237" s="582"/>
      <c r="H237" s="582">
        <v>4322327.35042735</v>
      </c>
      <c r="I237" s="580">
        <v>11105404.273504272</v>
      </c>
      <c r="J237" s="580">
        <v>7713865.811965812</v>
      </c>
      <c r="K237" s="580">
        <v>6018096.581196581</v>
      </c>
      <c r="L237" s="580">
        <v>7035558.11965812</v>
      </c>
      <c r="M237" s="580">
        <f t="shared" ref="M237:R237" si="63">+M233+M235</f>
        <v>9409635.0427350421</v>
      </c>
      <c r="N237" s="582">
        <f t="shared" si="63"/>
        <v>12558920.757020757</v>
      </c>
      <c r="O237" s="582">
        <f t="shared" si="63"/>
        <v>12377231.196581196</v>
      </c>
      <c r="P237" s="580">
        <f t="shared" si="63"/>
        <v>12235917.094017094</v>
      </c>
      <c r="Q237" s="580">
        <f t="shared" si="63"/>
        <v>12387245.581802273</v>
      </c>
      <c r="R237" s="580">
        <f t="shared" si="63"/>
        <v>13350270.640713705</v>
      </c>
      <c r="S237" s="580"/>
      <c r="T237" s="580"/>
      <c r="U237" s="580">
        <v>4322327.35042735</v>
      </c>
      <c r="V237" s="580">
        <v>11105404.273504272</v>
      </c>
      <c r="W237" s="580">
        <v>7713865.811965812</v>
      </c>
      <c r="X237" s="580">
        <v>6018096.581196581</v>
      </c>
      <c r="Y237" s="580">
        <v>7035558.11965812</v>
      </c>
      <c r="Z237" s="580">
        <f t="shared" si="61"/>
        <v>9409635.0427350421</v>
      </c>
      <c r="AA237" s="580">
        <f t="shared" si="61"/>
        <v>12558920.757020757</v>
      </c>
      <c r="AB237" s="580">
        <f t="shared" si="61"/>
        <v>12377231.196581196</v>
      </c>
      <c r="AC237" s="580">
        <f t="shared" si="61"/>
        <v>12235917.094017094</v>
      </c>
      <c r="AD237" s="580">
        <f t="shared" si="61"/>
        <v>12387245.581802273</v>
      </c>
      <c r="AE237" s="580">
        <f t="shared" si="61"/>
        <v>13350270.640713705</v>
      </c>
      <c r="AF237" s="823"/>
      <c r="AG237" s="829"/>
      <c r="AH237" s="823"/>
      <c r="AI237" s="823"/>
      <c r="AJ237" s="823"/>
      <c r="AK237" s="807"/>
      <c r="AL237" s="807"/>
      <c r="AM237" s="807"/>
      <c r="AN237" s="807"/>
      <c r="AO237" s="807"/>
      <c r="AP237" s="807"/>
      <c r="AQ237" s="807"/>
      <c r="AR237" s="807"/>
      <c r="AS237" s="807"/>
      <c r="AT237" s="807"/>
      <c r="AU237" s="807"/>
      <c r="AV237" s="807"/>
      <c r="AW237" s="807"/>
      <c r="AX237" s="807"/>
      <c r="AY237" s="584"/>
    </row>
    <row r="238" spans="1:51" ht="19.149999999999999" customHeight="1" x14ac:dyDescent="0.25">
      <c r="A238" s="828"/>
      <c r="B238" s="822"/>
      <c r="C238" s="821" t="s">
        <v>598</v>
      </c>
      <c r="D238" s="572" t="s">
        <v>345</v>
      </c>
      <c r="E238" s="582"/>
      <c r="F238" s="582"/>
      <c r="G238" s="582"/>
      <c r="H238" s="582">
        <v>127</v>
      </c>
      <c r="I238" s="580">
        <v>114</v>
      </c>
      <c r="J238" s="580">
        <v>101</v>
      </c>
      <c r="K238" s="598">
        <v>88</v>
      </c>
      <c r="L238" s="580">
        <v>75</v>
      </c>
      <c r="M238" s="580">
        <v>62</v>
      </c>
      <c r="N238" s="582">
        <v>49</v>
      </c>
      <c r="O238" s="582">
        <v>36</v>
      </c>
      <c r="P238" s="580">
        <v>23</v>
      </c>
      <c r="Q238" s="580">
        <v>13</v>
      </c>
      <c r="R238" s="580">
        <v>3</v>
      </c>
      <c r="S238" s="580"/>
      <c r="T238" s="581"/>
      <c r="U238" s="581"/>
      <c r="V238" s="581"/>
      <c r="W238" s="581"/>
      <c r="X238" s="581"/>
      <c r="Y238" s="581"/>
      <c r="Z238" s="581"/>
      <c r="AA238" s="581"/>
      <c r="AB238" s="599"/>
      <c r="AC238" s="580"/>
      <c r="AD238" s="588"/>
      <c r="AE238" s="580"/>
      <c r="AF238" s="664"/>
      <c r="AG238" s="827"/>
      <c r="AH238" s="824"/>
      <c r="AI238" s="824"/>
      <c r="AJ238" s="821"/>
      <c r="AK238" s="892"/>
      <c r="AL238" s="826" t="s">
        <v>178</v>
      </c>
      <c r="AM238" s="826" t="s">
        <v>491</v>
      </c>
      <c r="AN238" s="820">
        <v>7936532</v>
      </c>
      <c r="AO238" s="820">
        <v>3799681</v>
      </c>
      <c r="AP238" s="820">
        <v>4136851</v>
      </c>
      <c r="AQ238" s="805" t="s">
        <v>492</v>
      </c>
      <c r="AR238" s="805" t="s">
        <v>492</v>
      </c>
      <c r="AS238" s="805" t="s">
        <v>492</v>
      </c>
      <c r="AT238" s="805" t="s">
        <v>492</v>
      </c>
      <c r="AU238" s="805" t="s">
        <v>492</v>
      </c>
      <c r="AV238" s="805" t="s">
        <v>492</v>
      </c>
      <c r="AW238" s="805" t="s">
        <v>492</v>
      </c>
      <c r="AX238" s="808">
        <v>7936532</v>
      </c>
      <c r="AY238" s="600"/>
    </row>
    <row r="239" spans="1:51" ht="19.149999999999999" customHeight="1" x14ac:dyDescent="0.25">
      <c r="A239" s="828"/>
      <c r="B239" s="822"/>
      <c r="C239" s="822"/>
      <c r="D239" s="578" t="s">
        <v>349</v>
      </c>
      <c r="E239" s="582"/>
      <c r="F239" s="582"/>
      <c r="G239" s="582"/>
      <c r="H239" s="582">
        <v>136407000</v>
      </c>
      <c r="I239" s="580">
        <v>48227000</v>
      </c>
      <c r="J239" s="580">
        <v>48227000</v>
      </c>
      <c r="K239" s="580">
        <v>48227000</v>
      </c>
      <c r="L239" s="580">
        <v>48227000</v>
      </c>
      <c r="M239" s="580">
        <f t="shared" ref="M239:R239" si="64">+M143-Z143</f>
        <v>39409000</v>
      </c>
      <c r="N239" s="582">
        <f t="shared" si="64"/>
        <v>39409000</v>
      </c>
      <c r="O239" s="582">
        <f t="shared" si="64"/>
        <v>39409000</v>
      </c>
      <c r="P239" s="580">
        <f t="shared" si="64"/>
        <v>39409000</v>
      </c>
      <c r="Q239" s="580">
        <f t="shared" si="64"/>
        <v>39409000</v>
      </c>
      <c r="R239" s="580">
        <f t="shared" si="64"/>
        <v>17000000</v>
      </c>
      <c r="S239" s="580"/>
      <c r="T239" s="581"/>
      <c r="U239" s="581"/>
      <c r="V239" s="581"/>
      <c r="W239" s="581"/>
      <c r="X239" s="581"/>
      <c r="Y239" s="581"/>
      <c r="Z239" s="581"/>
      <c r="AA239" s="581"/>
      <c r="AB239" s="587"/>
      <c r="AC239" s="580"/>
      <c r="AD239" s="588"/>
      <c r="AE239" s="580"/>
      <c r="AF239" s="664"/>
      <c r="AG239" s="828"/>
      <c r="AH239" s="822"/>
      <c r="AI239" s="822"/>
      <c r="AJ239" s="822"/>
      <c r="AK239" s="856"/>
      <c r="AL239" s="806"/>
      <c r="AM239" s="806"/>
      <c r="AN239" s="806"/>
      <c r="AO239" s="806"/>
      <c r="AP239" s="806"/>
      <c r="AQ239" s="806"/>
      <c r="AR239" s="806"/>
      <c r="AS239" s="806"/>
      <c r="AT239" s="806"/>
      <c r="AU239" s="806"/>
      <c r="AV239" s="806"/>
      <c r="AW239" s="806"/>
      <c r="AX239" s="806"/>
      <c r="AY239" s="600"/>
    </row>
    <row r="240" spans="1:51" ht="28.9" customHeight="1" x14ac:dyDescent="0.25">
      <c r="A240" s="828"/>
      <c r="B240" s="822"/>
      <c r="C240" s="822"/>
      <c r="D240" s="579" t="s">
        <v>351</v>
      </c>
      <c r="E240" s="582"/>
      <c r="F240" s="582"/>
      <c r="G240" s="582"/>
      <c r="H240" s="582"/>
      <c r="I240" s="580"/>
      <c r="J240" s="580"/>
      <c r="K240" s="598"/>
      <c r="L240" s="580"/>
      <c r="M240" s="580"/>
      <c r="N240" s="586"/>
      <c r="O240" s="582"/>
      <c r="P240" s="580"/>
      <c r="Q240" s="580"/>
      <c r="R240" s="580"/>
      <c r="S240" s="580"/>
      <c r="T240" s="581"/>
      <c r="U240" s="581"/>
      <c r="V240" s="581"/>
      <c r="W240" s="581"/>
      <c r="X240" s="581"/>
      <c r="Y240" s="581"/>
      <c r="Z240" s="581"/>
      <c r="AA240" s="581"/>
      <c r="AB240" s="587"/>
      <c r="AC240" s="580"/>
      <c r="AD240" s="588"/>
      <c r="AE240" s="580"/>
      <c r="AF240" s="664"/>
      <c r="AG240" s="828"/>
      <c r="AH240" s="822"/>
      <c r="AI240" s="822"/>
      <c r="AJ240" s="822"/>
      <c r="AK240" s="856"/>
      <c r="AL240" s="806"/>
      <c r="AM240" s="806"/>
      <c r="AN240" s="806"/>
      <c r="AO240" s="806"/>
      <c r="AP240" s="806"/>
      <c r="AQ240" s="806"/>
      <c r="AR240" s="806"/>
      <c r="AS240" s="806"/>
      <c r="AT240" s="806"/>
      <c r="AU240" s="806"/>
      <c r="AV240" s="806"/>
      <c r="AW240" s="806"/>
      <c r="AX240" s="806"/>
      <c r="AY240" s="600"/>
    </row>
    <row r="241" spans="1:51" ht="28.9" customHeight="1" x14ac:dyDescent="0.25">
      <c r="A241" s="828"/>
      <c r="B241" s="822"/>
      <c r="C241" s="822"/>
      <c r="D241" s="578" t="s">
        <v>352</v>
      </c>
      <c r="E241" s="582"/>
      <c r="F241" s="582"/>
      <c r="G241" s="582"/>
      <c r="H241" s="582"/>
      <c r="I241" s="580">
        <v>0</v>
      </c>
      <c r="J241" s="580">
        <v>0</v>
      </c>
      <c r="K241" s="598"/>
      <c r="L241" s="580"/>
      <c r="M241" s="580"/>
      <c r="N241" s="582"/>
      <c r="O241" s="582"/>
      <c r="P241" s="580"/>
      <c r="Q241" s="580"/>
      <c r="R241" s="580"/>
      <c r="S241" s="580"/>
      <c r="T241" s="581"/>
      <c r="U241" s="581"/>
      <c r="V241" s="581"/>
      <c r="W241" s="581"/>
      <c r="X241" s="581"/>
      <c r="Y241" s="581"/>
      <c r="Z241" s="581"/>
      <c r="AA241" s="581"/>
      <c r="AB241" s="587"/>
      <c r="AC241" s="580"/>
      <c r="AD241" s="588"/>
      <c r="AE241" s="580"/>
      <c r="AF241" s="664"/>
      <c r="AG241" s="828"/>
      <c r="AH241" s="822"/>
      <c r="AI241" s="822"/>
      <c r="AJ241" s="822"/>
      <c r="AK241" s="856"/>
      <c r="AL241" s="806"/>
      <c r="AM241" s="806"/>
      <c r="AN241" s="806"/>
      <c r="AO241" s="806"/>
      <c r="AP241" s="806"/>
      <c r="AQ241" s="806"/>
      <c r="AR241" s="806"/>
      <c r="AS241" s="806"/>
      <c r="AT241" s="806"/>
      <c r="AU241" s="806"/>
      <c r="AV241" s="806"/>
      <c r="AW241" s="806"/>
      <c r="AX241" s="806"/>
      <c r="AY241" s="600"/>
    </row>
    <row r="242" spans="1:51" ht="28.9" customHeight="1" x14ac:dyDescent="0.25">
      <c r="A242" s="828"/>
      <c r="B242" s="822"/>
      <c r="C242" s="822"/>
      <c r="D242" s="579" t="s">
        <v>353</v>
      </c>
      <c r="E242" s="582"/>
      <c r="F242" s="582"/>
      <c r="G242" s="582"/>
      <c r="H242" s="582">
        <v>127</v>
      </c>
      <c r="I242" s="580">
        <v>114</v>
      </c>
      <c r="J242" s="580">
        <v>101</v>
      </c>
      <c r="K242" s="598">
        <v>88</v>
      </c>
      <c r="L242" s="580">
        <v>75</v>
      </c>
      <c r="M242" s="580">
        <v>62</v>
      </c>
      <c r="N242" s="586">
        <v>49</v>
      </c>
      <c r="O242" s="582">
        <v>36</v>
      </c>
      <c r="P242" s="580">
        <v>23</v>
      </c>
      <c r="Q242" s="580">
        <v>13</v>
      </c>
      <c r="R242" s="580">
        <v>3</v>
      </c>
      <c r="S242" s="580"/>
      <c r="T242" s="581"/>
      <c r="U242" s="581"/>
      <c r="V242" s="581"/>
      <c r="W242" s="581"/>
      <c r="X242" s="581"/>
      <c r="Y242" s="581"/>
      <c r="Z242" s="580"/>
      <c r="AA242" s="581"/>
      <c r="AB242" s="587"/>
      <c r="AC242" s="580"/>
      <c r="AD242" s="588"/>
      <c r="AE242" s="580"/>
      <c r="AF242" s="664"/>
      <c r="AG242" s="828"/>
      <c r="AH242" s="822"/>
      <c r="AI242" s="822"/>
      <c r="AJ242" s="822"/>
      <c r="AK242" s="856"/>
      <c r="AL242" s="806"/>
      <c r="AM242" s="806"/>
      <c r="AN242" s="806"/>
      <c r="AO242" s="806"/>
      <c r="AP242" s="806"/>
      <c r="AQ242" s="806"/>
      <c r="AR242" s="806"/>
      <c r="AS242" s="806"/>
      <c r="AT242" s="806"/>
      <c r="AU242" s="806"/>
      <c r="AV242" s="806"/>
      <c r="AW242" s="806"/>
      <c r="AX242" s="806"/>
      <c r="AY242" s="600"/>
    </row>
    <row r="243" spans="1:51" ht="28.9" customHeight="1" x14ac:dyDescent="0.25">
      <c r="A243" s="828"/>
      <c r="B243" s="822"/>
      <c r="C243" s="823"/>
      <c r="D243" s="578" t="s">
        <v>354</v>
      </c>
      <c r="E243" s="582"/>
      <c r="F243" s="582"/>
      <c r="G243" s="582"/>
      <c r="H243" s="582">
        <v>136407000</v>
      </c>
      <c r="I243" s="580">
        <v>48227000</v>
      </c>
      <c r="J243" s="580">
        <v>48227000</v>
      </c>
      <c r="K243" s="580">
        <v>48227000</v>
      </c>
      <c r="L243" s="580">
        <v>48227000</v>
      </c>
      <c r="M243" s="580">
        <f t="shared" ref="M243:R243" si="65">+M239+M241</f>
        <v>39409000</v>
      </c>
      <c r="N243" s="582">
        <f t="shared" si="65"/>
        <v>39409000</v>
      </c>
      <c r="O243" s="582">
        <f t="shared" si="65"/>
        <v>39409000</v>
      </c>
      <c r="P243" s="580">
        <f t="shared" si="65"/>
        <v>39409000</v>
      </c>
      <c r="Q243" s="580">
        <f t="shared" si="65"/>
        <v>39409000</v>
      </c>
      <c r="R243" s="580">
        <f t="shared" si="65"/>
        <v>17000000</v>
      </c>
      <c r="S243" s="580"/>
      <c r="T243" s="581"/>
      <c r="U243" s="581"/>
      <c r="V243" s="581"/>
      <c r="W243" s="581"/>
      <c r="X243" s="581"/>
      <c r="Y243" s="581"/>
      <c r="Z243" s="581"/>
      <c r="AA243" s="581"/>
      <c r="AB243" s="587"/>
      <c r="AC243" s="580"/>
      <c r="AD243" s="588"/>
      <c r="AE243" s="580"/>
      <c r="AF243" s="664"/>
      <c r="AG243" s="829"/>
      <c r="AH243" s="823"/>
      <c r="AI243" s="823"/>
      <c r="AJ243" s="823"/>
      <c r="AK243" s="857"/>
      <c r="AL243" s="807"/>
      <c r="AM243" s="807"/>
      <c r="AN243" s="807"/>
      <c r="AO243" s="807"/>
      <c r="AP243" s="807"/>
      <c r="AQ243" s="807"/>
      <c r="AR243" s="807"/>
      <c r="AS243" s="807"/>
      <c r="AT243" s="807"/>
      <c r="AU243" s="807"/>
      <c r="AV243" s="807"/>
      <c r="AW243" s="807"/>
      <c r="AX243" s="807"/>
      <c r="AY243" s="600"/>
    </row>
    <row r="244" spans="1:51" ht="19.149999999999999" customHeight="1" x14ac:dyDescent="0.25">
      <c r="A244" s="828"/>
      <c r="B244" s="822"/>
      <c r="C244" s="821" t="s">
        <v>599</v>
      </c>
      <c r="D244" s="572" t="s">
        <v>345</v>
      </c>
      <c r="E244" s="582">
        <v>140</v>
      </c>
      <c r="F244" s="582">
        <v>140</v>
      </c>
      <c r="G244" s="582">
        <v>140</v>
      </c>
      <c r="H244" s="582">
        <v>140</v>
      </c>
      <c r="I244" s="580">
        <v>140</v>
      </c>
      <c r="J244" s="580">
        <v>140</v>
      </c>
      <c r="K244" s="580">
        <v>140</v>
      </c>
      <c r="L244" s="580">
        <v>140</v>
      </c>
      <c r="M244" s="580">
        <f t="shared" ref="M244:R249" si="66">+M148+M154+M160+M166+M172+M178+M184+M190+M196+M202+M208+M214+M220+M226+M232+M238</f>
        <v>140</v>
      </c>
      <c r="N244" s="582">
        <f t="shared" si="66"/>
        <v>140</v>
      </c>
      <c r="O244" s="582">
        <f t="shared" si="66"/>
        <v>140</v>
      </c>
      <c r="P244" s="580">
        <f t="shared" si="66"/>
        <v>140</v>
      </c>
      <c r="Q244" s="580">
        <f t="shared" si="66"/>
        <v>140</v>
      </c>
      <c r="R244" s="580">
        <f t="shared" si="66"/>
        <v>140</v>
      </c>
      <c r="S244" s="580"/>
      <c r="T244" s="580">
        <v>0</v>
      </c>
      <c r="U244" s="580">
        <v>13</v>
      </c>
      <c r="V244" s="580">
        <v>26</v>
      </c>
      <c r="W244" s="580">
        <v>39</v>
      </c>
      <c r="X244" s="580">
        <v>52</v>
      </c>
      <c r="Y244" s="580">
        <v>65</v>
      </c>
      <c r="Z244" s="580">
        <f t="shared" ref="Z244:AE249" si="67">+Z148+Z154+Z160+Z166+Z172+Z178+Z184+Z190+Z196+Z202+Z208+Z214+Z220+Z226+Z232+Z238</f>
        <v>78</v>
      </c>
      <c r="AA244" s="580">
        <f t="shared" si="67"/>
        <v>91</v>
      </c>
      <c r="AB244" s="580">
        <f t="shared" si="67"/>
        <v>104</v>
      </c>
      <c r="AC244" s="580">
        <f t="shared" si="67"/>
        <v>117</v>
      </c>
      <c r="AD244" s="580">
        <f t="shared" si="67"/>
        <v>127</v>
      </c>
      <c r="AE244" s="580">
        <f t="shared" si="67"/>
        <v>137</v>
      </c>
      <c r="AF244" s="665"/>
      <c r="AG244" s="827" t="s">
        <v>489</v>
      </c>
      <c r="AH244" s="824" t="s">
        <v>178</v>
      </c>
      <c r="AI244" s="824" t="s">
        <v>178</v>
      </c>
      <c r="AJ244" s="824" t="s">
        <v>178</v>
      </c>
      <c r="AK244" s="826" t="s">
        <v>490</v>
      </c>
      <c r="AL244" s="826" t="s">
        <v>178</v>
      </c>
      <c r="AM244" s="826" t="s">
        <v>491</v>
      </c>
      <c r="AN244" s="820">
        <v>7936532</v>
      </c>
      <c r="AO244" s="820">
        <v>3799681</v>
      </c>
      <c r="AP244" s="820">
        <v>4136851</v>
      </c>
      <c r="AQ244" s="805" t="s">
        <v>492</v>
      </c>
      <c r="AR244" s="805" t="s">
        <v>492</v>
      </c>
      <c r="AS244" s="805" t="s">
        <v>492</v>
      </c>
      <c r="AT244" s="805" t="s">
        <v>492</v>
      </c>
      <c r="AU244" s="805" t="s">
        <v>492</v>
      </c>
      <c r="AV244" s="805" t="s">
        <v>492</v>
      </c>
      <c r="AW244" s="805" t="s">
        <v>492</v>
      </c>
      <c r="AX244" s="808">
        <v>7936532</v>
      </c>
      <c r="AY244" s="600"/>
    </row>
    <row r="245" spans="1:51" ht="19.149999999999999" customHeight="1" x14ac:dyDescent="0.25">
      <c r="A245" s="828"/>
      <c r="B245" s="822"/>
      <c r="C245" s="822"/>
      <c r="D245" s="578" t="s">
        <v>349</v>
      </c>
      <c r="E245" s="582">
        <v>180497000</v>
      </c>
      <c r="F245" s="582">
        <v>180497000</v>
      </c>
      <c r="G245" s="582">
        <v>180497000</v>
      </c>
      <c r="H245" s="582">
        <v>180497000</v>
      </c>
      <c r="I245" s="580">
        <v>180497000.00000003</v>
      </c>
      <c r="J245" s="580">
        <v>180497000</v>
      </c>
      <c r="K245" s="580">
        <v>180497000</v>
      </c>
      <c r="L245" s="580">
        <v>180497000</v>
      </c>
      <c r="M245" s="580">
        <f t="shared" si="66"/>
        <v>171679000</v>
      </c>
      <c r="N245" s="582">
        <f t="shared" si="66"/>
        <v>171679000</v>
      </c>
      <c r="O245" s="582">
        <f t="shared" si="66"/>
        <v>171679000</v>
      </c>
      <c r="P245" s="580">
        <f t="shared" si="66"/>
        <v>171679000</v>
      </c>
      <c r="Q245" s="580">
        <f t="shared" si="66"/>
        <v>171679000</v>
      </c>
      <c r="R245" s="580">
        <f t="shared" si="66"/>
        <v>171679000.00000003</v>
      </c>
      <c r="S245" s="580"/>
      <c r="T245" s="580">
        <v>0</v>
      </c>
      <c r="U245" s="580">
        <v>44090000</v>
      </c>
      <c r="V245" s="580">
        <v>132270000.00000003</v>
      </c>
      <c r="W245" s="580">
        <v>132270000</v>
      </c>
      <c r="X245" s="580">
        <v>132270000.00000001</v>
      </c>
      <c r="Y245" s="580">
        <v>132270000.00000001</v>
      </c>
      <c r="Z245" s="580">
        <f t="shared" si="67"/>
        <v>132270000.00000001</v>
      </c>
      <c r="AA245" s="580">
        <f t="shared" si="67"/>
        <v>132270000</v>
      </c>
      <c r="AB245" s="580">
        <f t="shared" si="67"/>
        <v>132270000</v>
      </c>
      <c r="AC245" s="580">
        <f t="shared" si="67"/>
        <v>132270000</v>
      </c>
      <c r="AD245" s="580">
        <f t="shared" si="67"/>
        <v>132270000</v>
      </c>
      <c r="AE245" s="580">
        <f t="shared" si="67"/>
        <v>154679000.00000003</v>
      </c>
      <c r="AF245" s="665"/>
      <c r="AG245" s="828"/>
      <c r="AH245" s="822"/>
      <c r="AI245" s="822"/>
      <c r="AJ245" s="822"/>
      <c r="AK245" s="806"/>
      <c r="AL245" s="806"/>
      <c r="AM245" s="806"/>
      <c r="AN245" s="806"/>
      <c r="AO245" s="806"/>
      <c r="AP245" s="806"/>
      <c r="AQ245" s="806"/>
      <c r="AR245" s="806"/>
      <c r="AS245" s="806"/>
      <c r="AT245" s="806"/>
      <c r="AU245" s="806"/>
      <c r="AV245" s="806"/>
      <c r="AW245" s="806"/>
      <c r="AX245" s="806"/>
      <c r="AY245" s="600"/>
    </row>
    <row r="246" spans="1:51" ht="28.9" customHeight="1" x14ac:dyDescent="0.25">
      <c r="A246" s="828"/>
      <c r="B246" s="822"/>
      <c r="C246" s="822"/>
      <c r="D246" s="579" t="s">
        <v>351</v>
      </c>
      <c r="E246" s="582">
        <v>0</v>
      </c>
      <c r="F246" s="582">
        <v>0</v>
      </c>
      <c r="G246" s="582">
        <v>0</v>
      </c>
      <c r="H246" s="582">
        <v>0</v>
      </c>
      <c r="I246" s="580">
        <v>0</v>
      </c>
      <c r="J246" s="580">
        <v>0</v>
      </c>
      <c r="K246" s="580">
        <v>0</v>
      </c>
      <c r="L246" s="580">
        <v>0</v>
      </c>
      <c r="M246" s="580">
        <f t="shared" si="66"/>
        <v>0</v>
      </c>
      <c r="N246" s="582">
        <f t="shared" si="66"/>
        <v>0</v>
      </c>
      <c r="O246" s="582">
        <f t="shared" si="66"/>
        <v>0</v>
      </c>
      <c r="P246" s="580">
        <f t="shared" si="66"/>
        <v>0</v>
      </c>
      <c r="Q246" s="580">
        <f t="shared" si="66"/>
        <v>0</v>
      </c>
      <c r="R246" s="580">
        <f t="shared" si="66"/>
        <v>0</v>
      </c>
      <c r="S246" s="580"/>
      <c r="T246" s="580">
        <v>0</v>
      </c>
      <c r="U246" s="580">
        <v>0</v>
      </c>
      <c r="V246" s="580">
        <v>0</v>
      </c>
      <c r="W246" s="580">
        <v>0</v>
      </c>
      <c r="X246" s="580">
        <v>0</v>
      </c>
      <c r="Y246" s="580">
        <v>0</v>
      </c>
      <c r="Z246" s="580">
        <f t="shared" si="67"/>
        <v>0</v>
      </c>
      <c r="AA246" s="580">
        <f t="shared" si="67"/>
        <v>0</v>
      </c>
      <c r="AB246" s="580">
        <f t="shared" si="67"/>
        <v>0</v>
      </c>
      <c r="AC246" s="580">
        <f t="shared" si="67"/>
        <v>0</v>
      </c>
      <c r="AD246" s="580">
        <f t="shared" si="67"/>
        <v>0</v>
      </c>
      <c r="AE246" s="580">
        <f t="shared" si="67"/>
        <v>0</v>
      </c>
      <c r="AF246" s="665"/>
      <c r="AG246" s="828"/>
      <c r="AH246" s="822"/>
      <c r="AI246" s="822"/>
      <c r="AJ246" s="822"/>
      <c r="AK246" s="806"/>
      <c r="AL246" s="806"/>
      <c r="AM246" s="806"/>
      <c r="AN246" s="806"/>
      <c r="AO246" s="806"/>
      <c r="AP246" s="806"/>
      <c r="AQ246" s="806"/>
      <c r="AR246" s="806"/>
      <c r="AS246" s="806"/>
      <c r="AT246" s="806"/>
      <c r="AU246" s="806"/>
      <c r="AV246" s="806"/>
      <c r="AW246" s="806"/>
      <c r="AX246" s="806"/>
      <c r="AY246" s="600"/>
    </row>
    <row r="247" spans="1:51" ht="28.9" customHeight="1" x14ac:dyDescent="0.25">
      <c r="A247" s="828"/>
      <c r="B247" s="822"/>
      <c r="C247" s="822"/>
      <c r="D247" s="578" t="s">
        <v>352</v>
      </c>
      <c r="E247" s="582">
        <v>8377100</v>
      </c>
      <c r="F247" s="582">
        <v>8377100</v>
      </c>
      <c r="G247" s="582">
        <v>8377100</v>
      </c>
      <c r="H247" s="582">
        <v>8377100</v>
      </c>
      <c r="I247" s="580">
        <v>8377100.0000000009</v>
      </c>
      <c r="J247" s="580">
        <v>8377100.0000000009</v>
      </c>
      <c r="K247" s="580">
        <v>8377100</v>
      </c>
      <c r="L247" s="580">
        <v>8377100</v>
      </c>
      <c r="M247" s="580">
        <f t="shared" si="66"/>
        <v>8377100</v>
      </c>
      <c r="N247" s="582">
        <f t="shared" si="66"/>
        <v>8377100</v>
      </c>
      <c r="O247" s="582">
        <f t="shared" si="66"/>
        <v>8377100</v>
      </c>
      <c r="P247" s="580">
        <f t="shared" si="66"/>
        <v>8377100</v>
      </c>
      <c r="Q247" s="580">
        <f t="shared" si="66"/>
        <v>8377100</v>
      </c>
      <c r="R247" s="580">
        <f t="shared" si="66"/>
        <v>8377100</v>
      </c>
      <c r="S247" s="580"/>
      <c r="T247" s="580">
        <v>8377100</v>
      </c>
      <c r="U247" s="580">
        <v>8377100</v>
      </c>
      <c r="V247" s="580">
        <v>8377100.0000000009</v>
      </c>
      <c r="W247" s="580">
        <v>8377100.0000000009</v>
      </c>
      <c r="X247" s="580">
        <v>8377100</v>
      </c>
      <c r="Y247" s="580">
        <v>8377100</v>
      </c>
      <c r="Z247" s="580">
        <f t="shared" si="67"/>
        <v>8377100</v>
      </c>
      <c r="AA247" s="580">
        <f t="shared" si="67"/>
        <v>8377100</v>
      </c>
      <c r="AB247" s="580">
        <f t="shared" si="67"/>
        <v>8377100</v>
      </c>
      <c r="AC247" s="580">
        <f t="shared" si="67"/>
        <v>8377100</v>
      </c>
      <c r="AD247" s="580">
        <f t="shared" si="67"/>
        <v>8377100</v>
      </c>
      <c r="AE247" s="580">
        <f t="shared" si="67"/>
        <v>8377100</v>
      </c>
      <c r="AF247" s="665"/>
      <c r="AG247" s="828"/>
      <c r="AH247" s="822"/>
      <c r="AI247" s="822"/>
      <c r="AJ247" s="822"/>
      <c r="AK247" s="806"/>
      <c r="AL247" s="806"/>
      <c r="AM247" s="806"/>
      <c r="AN247" s="806"/>
      <c r="AO247" s="806"/>
      <c r="AP247" s="806"/>
      <c r="AQ247" s="806"/>
      <c r="AR247" s="806"/>
      <c r="AS247" s="806"/>
      <c r="AT247" s="806"/>
      <c r="AU247" s="806"/>
      <c r="AV247" s="806"/>
      <c r="AW247" s="806"/>
      <c r="AX247" s="806"/>
      <c r="AY247" s="600"/>
    </row>
    <row r="248" spans="1:51" ht="28.9" customHeight="1" x14ac:dyDescent="0.25">
      <c r="A248" s="828"/>
      <c r="B248" s="822"/>
      <c r="C248" s="822"/>
      <c r="D248" s="579" t="s">
        <v>353</v>
      </c>
      <c r="E248" s="582">
        <v>140</v>
      </c>
      <c r="F248" s="582">
        <v>140</v>
      </c>
      <c r="G248" s="582">
        <v>140</v>
      </c>
      <c r="H248" s="582">
        <v>140</v>
      </c>
      <c r="I248" s="580">
        <v>140</v>
      </c>
      <c r="J248" s="580">
        <v>140</v>
      </c>
      <c r="K248" s="580">
        <v>140</v>
      </c>
      <c r="L248" s="580">
        <v>140</v>
      </c>
      <c r="M248" s="580">
        <f t="shared" si="66"/>
        <v>140</v>
      </c>
      <c r="N248" s="582">
        <f t="shared" si="66"/>
        <v>140</v>
      </c>
      <c r="O248" s="582">
        <f t="shared" si="66"/>
        <v>140</v>
      </c>
      <c r="P248" s="580">
        <f t="shared" si="66"/>
        <v>140</v>
      </c>
      <c r="Q248" s="580">
        <f t="shared" si="66"/>
        <v>140</v>
      </c>
      <c r="R248" s="580">
        <f t="shared" si="66"/>
        <v>140</v>
      </c>
      <c r="S248" s="580"/>
      <c r="T248" s="580">
        <v>0</v>
      </c>
      <c r="U248" s="580">
        <v>13</v>
      </c>
      <c r="V248" s="580">
        <v>26</v>
      </c>
      <c r="W248" s="580">
        <v>39</v>
      </c>
      <c r="X248" s="580">
        <v>52</v>
      </c>
      <c r="Y248" s="580">
        <v>65</v>
      </c>
      <c r="Z248" s="580">
        <f t="shared" si="67"/>
        <v>78</v>
      </c>
      <c r="AA248" s="580">
        <f t="shared" si="67"/>
        <v>91</v>
      </c>
      <c r="AB248" s="580">
        <f t="shared" si="67"/>
        <v>104</v>
      </c>
      <c r="AC248" s="580">
        <f t="shared" si="67"/>
        <v>117</v>
      </c>
      <c r="AD248" s="580">
        <f t="shared" si="67"/>
        <v>127</v>
      </c>
      <c r="AE248" s="580">
        <f t="shared" si="67"/>
        <v>137</v>
      </c>
      <c r="AF248" s="665"/>
      <c r="AG248" s="828"/>
      <c r="AH248" s="822"/>
      <c r="AI248" s="822"/>
      <c r="AJ248" s="822"/>
      <c r="AK248" s="806"/>
      <c r="AL248" s="806"/>
      <c r="AM248" s="806"/>
      <c r="AN248" s="806"/>
      <c r="AO248" s="806"/>
      <c r="AP248" s="806"/>
      <c r="AQ248" s="806"/>
      <c r="AR248" s="806"/>
      <c r="AS248" s="806"/>
      <c r="AT248" s="806"/>
      <c r="AU248" s="806"/>
      <c r="AV248" s="806"/>
      <c r="AW248" s="806"/>
      <c r="AX248" s="806"/>
      <c r="AY248" s="600"/>
    </row>
    <row r="249" spans="1:51" ht="28.9" customHeight="1" thickBot="1" x14ac:dyDescent="0.3">
      <c r="A249" s="829"/>
      <c r="B249" s="832"/>
      <c r="C249" s="823"/>
      <c r="D249" s="578" t="s">
        <v>354</v>
      </c>
      <c r="E249" s="582">
        <v>188874100</v>
      </c>
      <c r="F249" s="582">
        <v>188874100</v>
      </c>
      <c r="G249" s="582">
        <v>188874100</v>
      </c>
      <c r="H249" s="582">
        <v>188874100</v>
      </c>
      <c r="I249" s="580">
        <v>188874100</v>
      </c>
      <c r="J249" s="580">
        <v>188874100</v>
      </c>
      <c r="K249" s="580">
        <v>188874100</v>
      </c>
      <c r="L249" s="580">
        <v>188874100</v>
      </c>
      <c r="M249" s="580">
        <f t="shared" si="66"/>
        <v>180056100</v>
      </c>
      <c r="N249" s="582">
        <f t="shared" si="66"/>
        <v>180056100</v>
      </c>
      <c r="O249" s="582">
        <f t="shared" si="66"/>
        <v>180056100</v>
      </c>
      <c r="P249" s="580">
        <f t="shared" si="66"/>
        <v>180056100</v>
      </c>
      <c r="Q249" s="580">
        <f t="shared" si="66"/>
        <v>180056100</v>
      </c>
      <c r="R249" s="580">
        <f t="shared" si="66"/>
        <v>180056100</v>
      </c>
      <c r="S249" s="580"/>
      <c r="T249" s="580">
        <v>8377100</v>
      </c>
      <c r="U249" s="580">
        <v>52467100.000000007</v>
      </c>
      <c r="V249" s="580">
        <v>140647100</v>
      </c>
      <c r="W249" s="580">
        <v>140647100</v>
      </c>
      <c r="X249" s="580">
        <v>140647100</v>
      </c>
      <c r="Y249" s="580">
        <v>140647100</v>
      </c>
      <c r="Z249" s="580">
        <f t="shared" si="67"/>
        <v>140647100</v>
      </c>
      <c r="AA249" s="580">
        <f t="shared" si="67"/>
        <v>140647100</v>
      </c>
      <c r="AB249" s="580">
        <f t="shared" si="67"/>
        <v>140647100</v>
      </c>
      <c r="AC249" s="580">
        <f t="shared" si="67"/>
        <v>140647100</v>
      </c>
      <c r="AD249" s="580">
        <f t="shared" si="67"/>
        <v>140647100</v>
      </c>
      <c r="AE249" s="580">
        <f t="shared" si="67"/>
        <v>163056100</v>
      </c>
      <c r="AF249" s="665"/>
      <c r="AG249" s="829"/>
      <c r="AH249" s="823"/>
      <c r="AI249" s="823"/>
      <c r="AJ249" s="823"/>
      <c r="AK249" s="807"/>
      <c r="AL249" s="807"/>
      <c r="AM249" s="807"/>
      <c r="AN249" s="807"/>
      <c r="AO249" s="807"/>
      <c r="AP249" s="807"/>
      <c r="AQ249" s="807"/>
      <c r="AR249" s="807"/>
      <c r="AS249" s="807"/>
      <c r="AT249" s="807"/>
      <c r="AU249" s="807"/>
      <c r="AV249" s="807"/>
      <c r="AW249" s="807"/>
      <c r="AX249" s="807"/>
      <c r="AY249" s="600"/>
    </row>
    <row r="250" spans="1:51" ht="19.149999999999999" customHeight="1" x14ac:dyDescent="0.25">
      <c r="A250" s="827">
        <v>3</v>
      </c>
      <c r="B250" s="830" t="s">
        <v>358</v>
      </c>
      <c r="C250" s="821" t="s">
        <v>671</v>
      </c>
      <c r="D250" s="572" t="s">
        <v>345</v>
      </c>
      <c r="E250" s="573">
        <v>6000</v>
      </c>
      <c r="F250" s="573">
        <v>6000</v>
      </c>
      <c r="G250" s="573">
        <v>6000</v>
      </c>
      <c r="H250" s="573">
        <v>6000</v>
      </c>
      <c r="I250" s="574">
        <v>6000</v>
      </c>
      <c r="J250" s="574">
        <v>6000</v>
      </c>
      <c r="K250" s="574">
        <v>6000</v>
      </c>
      <c r="L250" s="574">
        <v>6000</v>
      </c>
      <c r="M250" s="574">
        <v>6000</v>
      </c>
      <c r="N250" s="583">
        <v>6000</v>
      </c>
      <c r="O250" s="573">
        <v>6000</v>
      </c>
      <c r="P250" s="574">
        <v>6000</v>
      </c>
      <c r="Q250" s="574">
        <v>6000</v>
      </c>
      <c r="R250" s="574">
        <v>6000</v>
      </c>
      <c r="S250" s="574"/>
      <c r="T250" s="575">
        <v>0</v>
      </c>
      <c r="U250" s="575">
        <v>600</v>
      </c>
      <c r="V250" s="575">
        <v>1250</v>
      </c>
      <c r="W250" s="575">
        <v>1850</v>
      </c>
      <c r="X250" s="575">
        <v>2450</v>
      </c>
      <c r="Y250" s="575">
        <v>3065</v>
      </c>
      <c r="Z250" s="575">
        <v>3640</v>
      </c>
      <c r="AA250" s="575">
        <v>4311</v>
      </c>
      <c r="AB250" s="601">
        <v>4896</v>
      </c>
      <c r="AC250" s="574">
        <v>5507</v>
      </c>
      <c r="AD250" s="593">
        <v>5730</v>
      </c>
      <c r="AE250" s="574">
        <v>5922</v>
      </c>
      <c r="AF250" s="887" t="s">
        <v>359</v>
      </c>
      <c r="AG250" s="827" t="s">
        <v>489</v>
      </c>
      <c r="AH250" s="824" t="s">
        <v>178</v>
      </c>
      <c r="AI250" s="824" t="s">
        <v>178</v>
      </c>
      <c r="AJ250" s="824" t="s">
        <v>178</v>
      </c>
      <c r="AK250" s="826" t="s">
        <v>490</v>
      </c>
      <c r="AL250" s="826" t="s">
        <v>178</v>
      </c>
      <c r="AM250" s="826" t="s">
        <v>672</v>
      </c>
      <c r="AN250" s="820">
        <v>7968095</v>
      </c>
      <c r="AO250" s="820">
        <v>3815676</v>
      </c>
      <c r="AP250" s="820">
        <v>4152419</v>
      </c>
      <c r="AQ250" s="805" t="s">
        <v>492</v>
      </c>
      <c r="AR250" s="805" t="s">
        <v>492</v>
      </c>
      <c r="AS250" s="805" t="s">
        <v>492</v>
      </c>
      <c r="AT250" s="805" t="s">
        <v>492</v>
      </c>
      <c r="AU250" s="805" t="s">
        <v>492</v>
      </c>
      <c r="AV250" s="805" t="s">
        <v>492</v>
      </c>
      <c r="AW250" s="805" t="s">
        <v>492</v>
      </c>
      <c r="AX250" s="808">
        <v>7936532</v>
      </c>
      <c r="AY250" s="891" t="s">
        <v>673</v>
      </c>
    </row>
    <row r="251" spans="1:51" ht="19.149999999999999" customHeight="1" x14ac:dyDescent="0.25">
      <c r="A251" s="828"/>
      <c r="B251" s="822"/>
      <c r="C251" s="822"/>
      <c r="D251" s="578" t="s">
        <v>349</v>
      </c>
      <c r="E251" s="573">
        <v>33110000</v>
      </c>
      <c r="F251" s="573">
        <v>33110000</v>
      </c>
      <c r="G251" s="573">
        <v>33110000</v>
      </c>
      <c r="H251" s="573">
        <v>33110000</v>
      </c>
      <c r="I251" s="574">
        <v>33110000</v>
      </c>
      <c r="J251" s="574">
        <v>33110000</v>
      </c>
      <c r="K251" s="574">
        <v>33110000</v>
      </c>
      <c r="L251" s="574">
        <v>33110000</v>
      </c>
      <c r="M251" s="574">
        <v>36120000</v>
      </c>
      <c r="N251" s="573">
        <v>36120000</v>
      </c>
      <c r="O251" s="583">
        <v>36120000</v>
      </c>
      <c r="P251" s="575">
        <v>36120000</v>
      </c>
      <c r="Q251" s="575">
        <v>36120000</v>
      </c>
      <c r="R251" s="575">
        <v>36120000</v>
      </c>
      <c r="S251" s="575"/>
      <c r="T251" s="575">
        <v>0</v>
      </c>
      <c r="U251" s="575">
        <v>33110000</v>
      </c>
      <c r="V251" s="575">
        <v>33110000</v>
      </c>
      <c r="W251" s="575">
        <v>33110000</v>
      </c>
      <c r="X251" s="575">
        <v>33110000</v>
      </c>
      <c r="Y251" s="575">
        <v>33110000</v>
      </c>
      <c r="Z251" s="575">
        <v>33110000</v>
      </c>
      <c r="AA251" s="575">
        <v>33110000</v>
      </c>
      <c r="AB251" s="601">
        <v>33110000</v>
      </c>
      <c r="AC251" s="574">
        <v>33110000</v>
      </c>
      <c r="AD251" s="574">
        <v>33110000</v>
      </c>
      <c r="AE251" s="575">
        <v>36120000</v>
      </c>
      <c r="AF251" s="822"/>
      <c r="AG251" s="828"/>
      <c r="AH251" s="822"/>
      <c r="AI251" s="822"/>
      <c r="AJ251" s="822"/>
      <c r="AK251" s="806"/>
      <c r="AL251" s="806"/>
      <c r="AM251" s="806"/>
      <c r="AN251" s="806"/>
      <c r="AO251" s="806"/>
      <c r="AP251" s="806"/>
      <c r="AQ251" s="806"/>
      <c r="AR251" s="806"/>
      <c r="AS251" s="806"/>
      <c r="AT251" s="806"/>
      <c r="AU251" s="806"/>
      <c r="AV251" s="806"/>
      <c r="AW251" s="806"/>
      <c r="AX251" s="806"/>
      <c r="AY251" s="806"/>
    </row>
    <row r="252" spans="1:51" ht="28.9" customHeight="1" x14ac:dyDescent="0.25">
      <c r="A252" s="828"/>
      <c r="B252" s="822"/>
      <c r="C252" s="822"/>
      <c r="D252" s="579" t="s">
        <v>351</v>
      </c>
      <c r="E252" s="573"/>
      <c r="F252" s="573"/>
      <c r="G252" s="573"/>
      <c r="H252" s="573"/>
      <c r="I252" s="574"/>
      <c r="J252" s="574"/>
      <c r="K252" s="580"/>
      <c r="L252" s="580"/>
      <c r="M252" s="574"/>
      <c r="N252" s="573"/>
      <c r="O252" s="573"/>
      <c r="P252" s="574"/>
      <c r="Q252" s="574"/>
      <c r="R252" s="574"/>
      <c r="S252" s="574"/>
      <c r="T252" s="575"/>
      <c r="U252" s="575">
        <v>0</v>
      </c>
      <c r="V252" s="575"/>
      <c r="W252" s="575"/>
      <c r="X252" s="581"/>
      <c r="Y252" s="575"/>
      <c r="Z252" s="575"/>
      <c r="AA252" s="575"/>
      <c r="AB252" s="601"/>
      <c r="AC252" s="574"/>
      <c r="AD252" s="574"/>
      <c r="AE252" s="574"/>
      <c r="AF252" s="822"/>
      <c r="AG252" s="828"/>
      <c r="AH252" s="822"/>
      <c r="AI252" s="822"/>
      <c r="AJ252" s="822"/>
      <c r="AK252" s="806"/>
      <c r="AL252" s="806"/>
      <c r="AM252" s="806"/>
      <c r="AN252" s="806"/>
      <c r="AO252" s="806"/>
      <c r="AP252" s="806"/>
      <c r="AQ252" s="806"/>
      <c r="AR252" s="806"/>
      <c r="AS252" s="806"/>
      <c r="AT252" s="806"/>
      <c r="AU252" s="806"/>
      <c r="AV252" s="806"/>
      <c r="AW252" s="806"/>
      <c r="AX252" s="806"/>
      <c r="AY252" s="806"/>
    </row>
    <row r="253" spans="1:51" ht="28.9" customHeight="1" x14ac:dyDescent="0.25">
      <c r="A253" s="828"/>
      <c r="B253" s="822"/>
      <c r="C253" s="822"/>
      <c r="D253" s="578" t="s">
        <v>352</v>
      </c>
      <c r="E253" s="573">
        <v>2515517</v>
      </c>
      <c r="F253" s="573">
        <v>2515517</v>
      </c>
      <c r="G253" s="573">
        <v>2515517</v>
      </c>
      <c r="H253" s="573">
        <v>2515517</v>
      </c>
      <c r="I253" s="574">
        <v>2515517</v>
      </c>
      <c r="J253" s="574">
        <v>2515517</v>
      </c>
      <c r="K253" s="580">
        <v>2515517</v>
      </c>
      <c r="L253" s="580">
        <v>2463333</v>
      </c>
      <c r="M253" s="580">
        <v>2463333</v>
      </c>
      <c r="N253" s="582">
        <v>2463333</v>
      </c>
      <c r="O253" s="582">
        <v>2463333</v>
      </c>
      <c r="P253" s="580">
        <v>2463333</v>
      </c>
      <c r="Q253" s="580">
        <v>2463333</v>
      </c>
      <c r="R253" s="580">
        <v>2463333</v>
      </c>
      <c r="S253" s="580"/>
      <c r="T253" s="575">
        <v>2377583</v>
      </c>
      <c r="U253" s="575">
        <v>2406308</v>
      </c>
      <c r="V253" s="575">
        <v>2435033</v>
      </c>
      <c r="W253" s="575">
        <v>2463333</v>
      </c>
      <c r="X253" s="575">
        <v>2463333</v>
      </c>
      <c r="Y253" s="575">
        <v>2463333</v>
      </c>
      <c r="Z253" s="575">
        <v>2463333</v>
      </c>
      <c r="AA253" s="575">
        <v>2463333</v>
      </c>
      <c r="AB253" s="575">
        <v>2463333</v>
      </c>
      <c r="AC253" s="574">
        <v>2463333</v>
      </c>
      <c r="AD253" s="574">
        <v>2463333</v>
      </c>
      <c r="AE253" s="580">
        <v>2463333</v>
      </c>
      <c r="AF253" s="822"/>
      <c r="AG253" s="828"/>
      <c r="AH253" s="822"/>
      <c r="AI253" s="822"/>
      <c r="AJ253" s="822"/>
      <c r="AK253" s="806"/>
      <c r="AL253" s="806"/>
      <c r="AM253" s="806"/>
      <c r="AN253" s="806"/>
      <c r="AO253" s="806"/>
      <c r="AP253" s="806"/>
      <c r="AQ253" s="806"/>
      <c r="AR253" s="806"/>
      <c r="AS253" s="806"/>
      <c r="AT253" s="806"/>
      <c r="AU253" s="806"/>
      <c r="AV253" s="806"/>
      <c r="AW253" s="806"/>
      <c r="AX253" s="806"/>
      <c r="AY253" s="806"/>
    </row>
    <row r="254" spans="1:51" ht="28.9" customHeight="1" x14ac:dyDescent="0.25">
      <c r="A254" s="828"/>
      <c r="B254" s="822"/>
      <c r="C254" s="822"/>
      <c r="D254" s="579" t="s">
        <v>353</v>
      </c>
      <c r="E254" s="573">
        <v>6000</v>
      </c>
      <c r="F254" s="573">
        <v>6000</v>
      </c>
      <c r="G254" s="573">
        <v>6000</v>
      </c>
      <c r="H254" s="573">
        <v>6000</v>
      </c>
      <c r="I254" s="574">
        <v>6000</v>
      </c>
      <c r="J254" s="574">
        <v>6000</v>
      </c>
      <c r="K254" s="580">
        <v>6000</v>
      </c>
      <c r="L254" s="580">
        <v>6000</v>
      </c>
      <c r="M254" s="574">
        <v>6000</v>
      </c>
      <c r="N254" s="573">
        <v>6000</v>
      </c>
      <c r="O254" s="573">
        <v>6000</v>
      </c>
      <c r="P254" s="574">
        <v>6000</v>
      </c>
      <c r="Q254" s="574">
        <v>6000</v>
      </c>
      <c r="R254" s="574">
        <v>6000</v>
      </c>
      <c r="S254" s="574"/>
      <c r="T254" s="575">
        <v>0</v>
      </c>
      <c r="U254" s="575">
        <v>600</v>
      </c>
      <c r="V254" s="575">
        <v>1250</v>
      </c>
      <c r="W254" s="575">
        <v>1850</v>
      </c>
      <c r="X254" s="575">
        <v>1850</v>
      </c>
      <c r="Y254" s="575">
        <v>3065</v>
      </c>
      <c r="Z254" s="575">
        <v>3640</v>
      </c>
      <c r="AA254" s="575">
        <v>4311</v>
      </c>
      <c r="AB254" s="575">
        <v>4896</v>
      </c>
      <c r="AC254" s="574">
        <v>5507</v>
      </c>
      <c r="AD254" s="574">
        <v>5507</v>
      </c>
      <c r="AE254" s="574">
        <v>5922</v>
      </c>
      <c r="AF254" s="822"/>
      <c r="AG254" s="828"/>
      <c r="AH254" s="822"/>
      <c r="AI254" s="822"/>
      <c r="AJ254" s="822"/>
      <c r="AK254" s="806"/>
      <c r="AL254" s="806"/>
      <c r="AM254" s="806"/>
      <c r="AN254" s="806"/>
      <c r="AO254" s="806"/>
      <c r="AP254" s="806"/>
      <c r="AQ254" s="806"/>
      <c r="AR254" s="806"/>
      <c r="AS254" s="806"/>
      <c r="AT254" s="806"/>
      <c r="AU254" s="806"/>
      <c r="AV254" s="806"/>
      <c r="AW254" s="806"/>
      <c r="AX254" s="806"/>
      <c r="AY254" s="806"/>
    </row>
    <row r="255" spans="1:51" ht="28.9" customHeight="1" x14ac:dyDescent="0.25">
      <c r="A255" s="828"/>
      <c r="B255" s="822"/>
      <c r="C255" s="823"/>
      <c r="D255" s="578" t="s">
        <v>354</v>
      </c>
      <c r="E255" s="573">
        <v>35625517</v>
      </c>
      <c r="F255" s="573">
        <v>35625517</v>
      </c>
      <c r="G255" s="573">
        <v>35625517</v>
      </c>
      <c r="H255" s="573">
        <v>35625517</v>
      </c>
      <c r="I255" s="574">
        <v>35625517</v>
      </c>
      <c r="J255" s="574">
        <v>35625517</v>
      </c>
      <c r="K255" s="580">
        <v>35625517</v>
      </c>
      <c r="L255" s="580">
        <v>35573333</v>
      </c>
      <c r="M255" s="580">
        <f t="shared" ref="M255:R255" si="68">+M251+M253</f>
        <v>38583333</v>
      </c>
      <c r="N255" s="582">
        <f t="shared" si="68"/>
        <v>38583333</v>
      </c>
      <c r="O255" s="582">
        <f t="shared" si="68"/>
        <v>38583333</v>
      </c>
      <c r="P255" s="580">
        <f t="shared" si="68"/>
        <v>38583333</v>
      </c>
      <c r="Q255" s="580">
        <f t="shared" si="68"/>
        <v>38583333</v>
      </c>
      <c r="R255" s="580">
        <f t="shared" si="68"/>
        <v>38583333</v>
      </c>
      <c r="S255" s="580"/>
      <c r="T255" s="574">
        <v>2377583</v>
      </c>
      <c r="U255" s="574">
        <v>35516308</v>
      </c>
      <c r="V255" s="574">
        <v>35545033</v>
      </c>
      <c r="W255" s="574">
        <v>35573333</v>
      </c>
      <c r="X255" s="574">
        <v>35573333</v>
      </c>
      <c r="Y255" s="574">
        <v>35573333</v>
      </c>
      <c r="Z255" s="580">
        <f t="shared" ref="Z255:AE255" si="69">+Z251+Z253</f>
        <v>35573333</v>
      </c>
      <c r="AA255" s="580">
        <f t="shared" si="69"/>
        <v>35573333</v>
      </c>
      <c r="AB255" s="580">
        <f t="shared" si="69"/>
        <v>35573333</v>
      </c>
      <c r="AC255" s="580">
        <f t="shared" si="69"/>
        <v>35573333</v>
      </c>
      <c r="AD255" s="580">
        <f t="shared" si="69"/>
        <v>35573333</v>
      </c>
      <c r="AE255" s="580">
        <f t="shared" si="69"/>
        <v>38583333</v>
      </c>
      <c r="AF255" s="823"/>
      <c r="AG255" s="829"/>
      <c r="AH255" s="823"/>
      <c r="AI255" s="823"/>
      <c r="AJ255" s="823"/>
      <c r="AK255" s="807"/>
      <c r="AL255" s="807"/>
      <c r="AM255" s="807"/>
      <c r="AN255" s="807"/>
      <c r="AO255" s="807"/>
      <c r="AP255" s="807"/>
      <c r="AQ255" s="807"/>
      <c r="AR255" s="807"/>
      <c r="AS255" s="807"/>
      <c r="AT255" s="807"/>
      <c r="AU255" s="807"/>
      <c r="AV255" s="807"/>
      <c r="AW255" s="807"/>
      <c r="AX255" s="807"/>
      <c r="AY255" s="806"/>
    </row>
    <row r="256" spans="1:51" ht="19.149999999999999" customHeight="1" x14ac:dyDescent="0.25">
      <c r="A256" s="828"/>
      <c r="B256" s="822"/>
      <c r="C256" s="821" t="s">
        <v>674</v>
      </c>
      <c r="D256" s="572" t="s">
        <v>345</v>
      </c>
      <c r="E256" s="582"/>
      <c r="F256" s="582"/>
      <c r="G256" s="582"/>
      <c r="H256" s="582"/>
      <c r="I256" s="580"/>
      <c r="J256" s="580"/>
      <c r="K256" s="580"/>
      <c r="L256" s="580"/>
      <c r="M256" s="580"/>
      <c r="N256" s="586"/>
      <c r="O256" s="573">
        <v>585</v>
      </c>
      <c r="P256" s="580">
        <v>585</v>
      </c>
      <c r="Q256" s="580">
        <v>585</v>
      </c>
      <c r="R256" s="580">
        <v>585</v>
      </c>
      <c r="S256" s="580"/>
      <c r="T256" s="580"/>
      <c r="U256" s="580"/>
      <c r="V256" s="581"/>
      <c r="W256" s="580"/>
      <c r="X256" s="580"/>
      <c r="Y256" s="580"/>
      <c r="Z256" s="580">
        <f t="shared" ref="Z256:AE271" si="70">+M256</f>
        <v>0</v>
      </c>
      <c r="AA256" s="581">
        <f t="shared" si="70"/>
        <v>0</v>
      </c>
      <c r="AB256" s="574">
        <f t="shared" si="70"/>
        <v>585</v>
      </c>
      <c r="AC256" s="580">
        <f t="shared" si="70"/>
        <v>585</v>
      </c>
      <c r="AD256" s="580">
        <f t="shared" si="70"/>
        <v>585</v>
      </c>
      <c r="AE256" s="580">
        <f t="shared" si="70"/>
        <v>585</v>
      </c>
      <c r="AF256" s="887" t="s">
        <v>675</v>
      </c>
      <c r="AG256" s="827" t="s">
        <v>511</v>
      </c>
      <c r="AH256" s="824" t="s">
        <v>676</v>
      </c>
      <c r="AI256" s="824" t="s">
        <v>677</v>
      </c>
      <c r="AJ256" s="821" t="s">
        <v>678</v>
      </c>
      <c r="AK256" s="826" t="s">
        <v>490</v>
      </c>
      <c r="AL256" s="826" t="s">
        <v>178</v>
      </c>
      <c r="AM256" s="826" t="s">
        <v>491</v>
      </c>
      <c r="AN256" s="820">
        <v>179406</v>
      </c>
      <c r="AO256" s="820">
        <v>86201</v>
      </c>
      <c r="AP256" s="820">
        <v>93205</v>
      </c>
      <c r="AQ256" s="833" t="s">
        <v>492</v>
      </c>
      <c r="AR256" s="833" t="s">
        <v>492</v>
      </c>
      <c r="AS256" s="833" t="s">
        <v>492</v>
      </c>
      <c r="AT256" s="833" t="s">
        <v>492</v>
      </c>
      <c r="AU256" s="833" t="s">
        <v>492</v>
      </c>
      <c r="AV256" s="833" t="s">
        <v>492</v>
      </c>
      <c r="AW256" s="833" t="s">
        <v>492</v>
      </c>
      <c r="AX256" s="820">
        <v>175418</v>
      </c>
      <c r="AY256" s="806"/>
    </row>
    <row r="257" spans="1:51" ht="19.149999999999999" customHeight="1" x14ac:dyDescent="0.25">
      <c r="A257" s="828"/>
      <c r="B257" s="822"/>
      <c r="C257" s="822"/>
      <c r="D257" s="578" t="s">
        <v>349</v>
      </c>
      <c r="E257" s="582"/>
      <c r="F257" s="582"/>
      <c r="G257" s="573"/>
      <c r="H257" s="582"/>
      <c r="I257" s="580"/>
      <c r="J257" s="580"/>
      <c r="K257" s="580"/>
      <c r="L257" s="580"/>
      <c r="M257" s="580"/>
      <c r="N257" s="582"/>
      <c r="O257" s="582">
        <f>+O256*$AB$251/$AB$250</f>
        <v>3956158.088235294</v>
      </c>
      <c r="P257" s="580">
        <f>+P256*$AC$251/$AC$250</f>
        <v>3517223.5336844018</v>
      </c>
      <c r="Q257" s="580">
        <f>+Q256*$AD$251/$AD$250</f>
        <v>3380340.3141361256</v>
      </c>
      <c r="R257" s="580">
        <f>+R256*$AE$251/$AE$250</f>
        <v>3568085.1063829786</v>
      </c>
      <c r="S257" s="580"/>
      <c r="T257" s="574"/>
      <c r="U257" s="580"/>
      <c r="V257" s="580"/>
      <c r="W257" s="580"/>
      <c r="X257" s="580"/>
      <c r="Y257" s="580"/>
      <c r="Z257" s="580">
        <f t="shared" si="70"/>
        <v>0</v>
      </c>
      <c r="AA257" s="580">
        <f t="shared" si="70"/>
        <v>0</v>
      </c>
      <c r="AB257" s="574">
        <f t="shared" si="70"/>
        <v>3956158.088235294</v>
      </c>
      <c r="AC257" s="580">
        <f t="shared" si="70"/>
        <v>3517223.5336844018</v>
      </c>
      <c r="AD257" s="580">
        <f t="shared" si="70"/>
        <v>3380340.3141361256</v>
      </c>
      <c r="AE257" s="580">
        <f t="shared" si="70"/>
        <v>3568085.1063829786</v>
      </c>
      <c r="AF257" s="822"/>
      <c r="AG257" s="828"/>
      <c r="AH257" s="822"/>
      <c r="AI257" s="822"/>
      <c r="AJ257" s="822"/>
      <c r="AK257" s="806"/>
      <c r="AL257" s="806"/>
      <c r="AM257" s="806"/>
      <c r="AN257" s="806"/>
      <c r="AO257" s="806"/>
      <c r="AP257" s="806"/>
      <c r="AQ257" s="806"/>
      <c r="AR257" s="806"/>
      <c r="AS257" s="806"/>
      <c r="AT257" s="806"/>
      <c r="AU257" s="806"/>
      <c r="AV257" s="806"/>
      <c r="AW257" s="806"/>
      <c r="AX257" s="806"/>
      <c r="AY257" s="806"/>
    </row>
    <row r="258" spans="1:51" ht="28.9" customHeight="1" x14ac:dyDescent="0.25">
      <c r="A258" s="828"/>
      <c r="B258" s="822"/>
      <c r="C258" s="822"/>
      <c r="D258" s="579" t="s">
        <v>351</v>
      </c>
      <c r="E258" s="582"/>
      <c r="F258" s="582"/>
      <c r="G258" s="582"/>
      <c r="H258" s="582"/>
      <c r="I258" s="580"/>
      <c r="J258" s="580"/>
      <c r="K258" s="580"/>
      <c r="L258" s="580"/>
      <c r="M258" s="580"/>
      <c r="N258" s="586"/>
      <c r="O258" s="582"/>
      <c r="P258" s="580"/>
      <c r="Q258" s="580"/>
      <c r="R258" s="580"/>
      <c r="S258" s="580"/>
      <c r="T258" s="581"/>
      <c r="U258" s="580"/>
      <c r="V258" s="581"/>
      <c r="W258" s="580"/>
      <c r="X258" s="580"/>
      <c r="Y258" s="580"/>
      <c r="Z258" s="580">
        <f t="shared" si="70"/>
        <v>0</v>
      </c>
      <c r="AA258" s="581">
        <f t="shared" si="70"/>
        <v>0</v>
      </c>
      <c r="AB258" s="574">
        <f t="shared" si="70"/>
        <v>0</v>
      </c>
      <c r="AC258" s="580">
        <f t="shared" si="70"/>
        <v>0</v>
      </c>
      <c r="AD258" s="580">
        <f t="shared" si="70"/>
        <v>0</v>
      </c>
      <c r="AE258" s="580">
        <f t="shared" si="70"/>
        <v>0</v>
      </c>
      <c r="AF258" s="822"/>
      <c r="AG258" s="828"/>
      <c r="AH258" s="822"/>
      <c r="AI258" s="822"/>
      <c r="AJ258" s="822"/>
      <c r="AK258" s="806"/>
      <c r="AL258" s="806"/>
      <c r="AM258" s="806"/>
      <c r="AN258" s="806"/>
      <c r="AO258" s="806"/>
      <c r="AP258" s="806"/>
      <c r="AQ258" s="806"/>
      <c r="AR258" s="806"/>
      <c r="AS258" s="806"/>
      <c r="AT258" s="806"/>
      <c r="AU258" s="806"/>
      <c r="AV258" s="806"/>
      <c r="AW258" s="806"/>
      <c r="AX258" s="806"/>
      <c r="AY258" s="806"/>
    </row>
    <row r="259" spans="1:51" ht="28.9" customHeight="1" x14ac:dyDescent="0.25">
      <c r="A259" s="828"/>
      <c r="B259" s="822"/>
      <c r="C259" s="822"/>
      <c r="D259" s="578" t="s">
        <v>352</v>
      </c>
      <c r="E259" s="582"/>
      <c r="F259" s="582"/>
      <c r="G259" s="582"/>
      <c r="H259" s="582"/>
      <c r="I259" s="574"/>
      <c r="J259" s="574"/>
      <c r="K259" s="574"/>
      <c r="L259" s="574"/>
      <c r="M259" s="574"/>
      <c r="N259" s="573"/>
      <c r="O259" s="573"/>
      <c r="P259" s="574"/>
      <c r="Q259" s="580"/>
      <c r="R259" s="580"/>
      <c r="S259" s="580"/>
      <c r="T259" s="580"/>
      <c r="U259" s="580"/>
      <c r="V259" s="580"/>
      <c r="W259" s="580"/>
      <c r="X259" s="580"/>
      <c r="Y259" s="580"/>
      <c r="Z259" s="580">
        <f t="shared" si="70"/>
        <v>0</v>
      </c>
      <c r="AA259" s="574">
        <f t="shared" si="70"/>
        <v>0</v>
      </c>
      <c r="AB259" s="574">
        <f t="shared" si="70"/>
        <v>0</v>
      </c>
      <c r="AC259" s="580">
        <f t="shared" si="70"/>
        <v>0</v>
      </c>
      <c r="AD259" s="580">
        <f t="shared" si="70"/>
        <v>0</v>
      </c>
      <c r="AE259" s="580">
        <f t="shared" si="70"/>
        <v>0</v>
      </c>
      <c r="AF259" s="822"/>
      <c r="AG259" s="828"/>
      <c r="AH259" s="822"/>
      <c r="AI259" s="822"/>
      <c r="AJ259" s="822"/>
      <c r="AK259" s="806"/>
      <c r="AL259" s="806"/>
      <c r="AM259" s="806"/>
      <c r="AN259" s="806"/>
      <c r="AO259" s="806"/>
      <c r="AP259" s="806"/>
      <c r="AQ259" s="806"/>
      <c r="AR259" s="806"/>
      <c r="AS259" s="806"/>
      <c r="AT259" s="806"/>
      <c r="AU259" s="806"/>
      <c r="AV259" s="806"/>
      <c r="AW259" s="806"/>
      <c r="AX259" s="806"/>
      <c r="AY259" s="806"/>
    </row>
    <row r="260" spans="1:51" ht="28.9" customHeight="1" x14ac:dyDescent="0.25">
      <c r="A260" s="828"/>
      <c r="B260" s="822"/>
      <c r="C260" s="822"/>
      <c r="D260" s="579" t="s">
        <v>353</v>
      </c>
      <c r="E260" s="582"/>
      <c r="F260" s="582"/>
      <c r="G260" s="582"/>
      <c r="H260" s="582"/>
      <c r="I260" s="580"/>
      <c r="J260" s="580"/>
      <c r="K260" s="580"/>
      <c r="L260" s="580"/>
      <c r="M260" s="580">
        <v>100</v>
      </c>
      <c r="N260" s="582"/>
      <c r="O260" s="573">
        <v>585</v>
      </c>
      <c r="P260" s="574">
        <v>585</v>
      </c>
      <c r="Q260" s="574">
        <v>585</v>
      </c>
      <c r="R260" s="574">
        <v>585</v>
      </c>
      <c r="S260" s="574"/>
      <c r="T260" s="581"/>
      <c r="U260" s="580"/>
      <c r="V260" s="581"/>
      <c r="W260" s="580"/>
      <c r="X260" s="580"/>
      <c r="Y260" s="580"/>
      <c r="Z260" s="580">
        <f t="shared" si="70"/>
        <v>100</v>
      </c>
      <c r="AA260" s="580">
        <f t="shared" si="70"/>
        <v>0</v>
      </c>
      <c r="AB260" s="574">
        <f t="shared" si="70"/>
        <v>585</v>
      </c>
      <c r="AC260" s="580">
        <f t="shared" si="70"/>
        <v>585</v>
      </c>
      <c r="AD260" s="580">
        <f t="shared" si="70"/>
        <v>585</v>
      </c>
      <c r="AE260" s="574">
        <f t="shared" si="70"/>
        <v>585</v>
      </c>
      <c r="AF260" s="822"/>
      <c r="AG260" s="828"/>
      <c r="AH260" s="822"/>
      <c r="AI260" s="822"/>
      <c r="AJ260" s="822"/>
      <c r="AK260" s="806"/>
      <c r="AL260" s="806"/>
      <c r="AM260" s="806"/>
      <c r="AN260" s="806"/>
      <c r="AO260" s="806"/>
      <c r="AP260" s="806"/>
      <c r="AQ260" s="806"/>
      <c r="AR260" s="806"/>
      <c r="AS260" s="806"/>
      <c r="AT260" s="806"/>
      <c r="AU260" s="806"/>
      <c r="AV260" s="806"/>
      <c r="AW260" s="806"/>
      <c r="AX260" s="806"/>
      <c r="AY260" s="806"/>
    </row>
    <row r="261" spans="1:51" ht="28.9" customHeight="1" x14ac:dyDescent="0.25">
      <c r="A261" s="828"/>
      <c r="B261" s="822"/>
      <c r="C261" s="823"/>
      <c r="D261" s="578" t="s">
        <v>354</v>
      </c>
      <c r="E261" s="582"/>
      <c r="F261" s="582"/>
      <c r="G261" s="573"/>
      <c r="H261" s="582"/>
      <c r="I261" s="580"/>
      <c r="J261" s="580"/>
      <c r="K261" s="580"/>
      <c r="L261" s="580"/>
      <c r="M261" s="580">
        <f>+M257+M259</f>
        <v>0</v>
      </c>
      <c r="N261" s="582"/>
      <c r="O261" s="582">
        <f t="shared" ref="O261:R261" si="71">+O257+O259</f>
        <v>3956158.088235294</v>
      </c>
      <c r="P261" s="580">
        <f t="shared" si="71"/>
        <v>3517223.5336844018</v>
      </c>
      <c r="Q261" s="580">
        <f t="shared" si="71"/>
        <v>3380340.3141361256</v>
      </c>
      <c r="R261" s="580">
        <f t="shared" si="71"/>
        <v>3568085.1063829786</v>
      </c>
      <c r="S261" s="580"/>
      <c r="T261" s="574"/>
      <c r="U261" s="580"/>
      <c r="V261" s="580"/>
      <c r="W261" s="580"/>
      <c r="X261" s="580"/>
      <c r="Y261" s="580"/>
      <c r="Z261" s="580">
        <f t="shared" si="70"/>
        <v>0</v>
      </c>
      <c r="AA261" s="580">
        <f t="shared" si="70"/>
        <v>0</v>
      </c>
      <c r="AB261" s="574">
        <f t="shared" si="70"/>
        <v>3956158.088235294</v>
      </c>
      <c r="AC261" s="580">
        <f t="shared" si="70"/>
        <v>3517223.5336844018</v>
      </c>
      <c r="AD261" s="580">
        <f t="shared" si="70"/>
        <v>3380340.3141361256</v>
      </c>
      <c r="AE261" s="580">
        <f t="shared" si="70"/>
        <v>3568085.1063829786</v>
      </c>
      <c r="AF261" s="823"/>
      <c r="AG261" s="829"/>
      <c r="AH261" s="823"/>
      <c r="AI261" s="823"/>
      <c r="AJ261" s="823"/>
      <c r="AK261" s="807"/>
      <c r="AL261" s="807"/>
      <c r="AM261" s="807"/>
      <c r="AN261" s="807"/>
      <c r="AO261" s="807"/>
      <c r="AP261" s="807"/>
      <c r="AQ261" s="807"/>
      <c r="AR261" s="807"/>
      <c r="AS261" s="807"/>
      <c r="AT261" s="807"/>
      <c r="AU261" s="807"/>
      <c r="AV261" s="807"/>
      <c r="AW261" s="807"/>
      <c r="AX261" s="807"/>
      <c r="AY261" s="806"/>
    </row>
    <row r="262" spans="1:51" ht="19.149999999999999" customHeight="1" x14ac:dyDescent="0.25">
      <c r="A262" s="828"/>
      <c r="B262" s="822"/>
      <c r="C262" s="821" t="s">
        <v>679</v>
      </c>
      <c r="D262" s="572" t="s">
        <v>345</v>
      </c>
      <c r="E262" s="582"/>
      <c r="F262" s="582"/>
      <c r="G262" s="582"/>
      <c r="H262" s="582"/>
      <c r="I262" s="580"/>
      <c r="J262" s="580"/>
      <c r="K262" s="580"/>
      <c r="L262" s="580"/>
      <c r="M262" s="580">
        <v>100</v>
      </c>
      <c r="N262" s="586">
        <v>100</v>
      </c>
      <c r="O262" s="573">
        <v>100</v>
      </c>
      <c r="P262" s="580">
        <v>100</v>
      </c>
      <c r="Q262" s="580">
        <v>100</v>
      </c>
      <c r="R262" s="580">
        <v>100</v>
      </c>
      <c r="S262" s="580"/>
      <c r="T262" s="580"/>
      <c r="U262" s="580"/>
      <c r="V262" s="581"/>
      <c r="W262" s="580"/>
      <c r="X262" s="580"/>
      <c r="Y262" s="580"/>
      <c r="Z262" s="580">
        <f t="shared" si="70"/>
        <v>100</v>
      </c>
      <c r="AA262" s="581">
        <f t="shared" si="70"/>
        <v>100</v>
      </c>
      <c r="AB262" s="574">
        <f t="shared" si="70"/>
        <v>100</v>
      </c>
      <c r="AC262" s="580">
        <f t="shared" si="70"/>
        <v>100</v>
      </c>
      <c r="AD262" s="580">
        <f t="shared" si="70"/>
        <v>100</v>
      </c>
      <c r="AE262" s="580">
        <f t="shared" si="70"/>
        <v>100</v>
      </c>
      <c r="AF262" s="887" t="s">
        <v>680</v>
      </c>
      <c r="AG262" s="827" t="s">
        <v>511</v>
      </c>
      <c r="AH262" s="824" t="s">
        <v>676</v>
      </c>
      <c r="AI262" s="824" t="s">
        <v>677</v>
      </c>
      <c r="AJ262" s="821" t="s">
        <v>678</v>
      </c>
      <c r="AK262" s="826" t="s">
        <v>490</v>
      </c>
      <c r="AL262" s="826" t="s">
        <v>178</v>
      </c>
      <c r="AM262" s="826" t="s">
        <v>491</v>
      </c>
      <c r="AN262" s="820">
        <v>179406</v>
      </c>
      <c r="AO262" s="820">
        <v>86201</v>
      </c>
      <c r="AP262" s="820">
        <v>93205</v>
      </c>
      <c r="AQ262" s="805" t="s">
        <v>492</v>
      </c>
      <c r="AR262" s="805" t="s">
        <v>492</v>
      </c>
      <c r="AS262" s="805" t="s">
        <v>492</v>
      </c>
      <c r="AT262" s="805" t="s">
        <v>492</v>
      </c>
      <c r="AU262" s="805" t="s">
        <v>492</v>
      </c>
      <c r="AV262" s="805" t="s">
        <v>492</v>
      </c>
      <c r="AW262" s="805" t="s">
        <v>492</v>
      </c>
      <c r="AX262" s="808">
        <v>175418</v>
      </c>
      <c r="AY262" s="806"/>
    </row>
    <row r="263" spans="1:51" ht="19.149999999999999" customHeight="1" x14ac:dyDescent="0.25">
      <c r="A263" s="828"/>
      <c r="B263" s="822"/>
      <c r="C263" s="822"/>
      <c r="D263" s="578" t="s">
        <v>349</v>
      </c>
      <c r="E263" s="582"/>
      <c r="F263" s="582"/>
      <c r="G263" s="573"/>
      <c r="H263" s="582"/>
      <c r="I263" s="580"/>
      <c r="J263" s="580"/>
      <c r="K263" s="580"/>
      <c r="L263" s="580"/>
      <c r="M263" s="580">
        <f>+M262*$Z$251/$Z$250</f>
        <v>909615.38461538462</v>
      </c>
      <c r="N263" s="582">
        <f>+N262*$AA$251/$AA$250</f>
        <v>768035.25864068663</v>
      </c>
      <c r="O263" s="582">
        <f>+O262*$AB$251/$AB$250</f>
        <v>676266.33986928104</v>
      </c>
      <c r="P263" s="580">
        <f>+P262*$AC$251/$AC$250</f>
        <v>601234.79208280367</v>
      </c>
      <c r="Q263" s="580">
        <f>+Q262*$AD$251/$AD$250</f>
        <v>577835.95113438042</v>
      </c>
      <c r="R263" s="580">
        <f>+R262*$AE$251/$AE$250</f>
        <v>609929.07801418437</v>
      </c>
      <c r="S263" s="580"/>
      <c r="T263" s="574"/>
      <c r="U263" s="580"/>
      <c r="V263" s="580"/>
      <c r="W263" s="580"/>
      <c r="X263" s="580"/>
      <c r="Y263" s="580"/>
      <c r="Z263" s="580">
        <f t="shared" si="70"/>
        <v>909615.38461538462</v>
      </c>
      <c r="AA263" s="580">
        <f t="shared" si="70"/>
        <v>768035.25864068663</v>
      </c>
      <c r="AB263" s="574">
        <f t="shared" si="70"/>
        <v>676266.33986928104</v>
      </c>
      <c r="AC263" s="580">
        <f t="shared" si="70"/>
        <v>601234.79208280367</v>
      </c>
      <c r="AD263" s="580">
        <f t="shared" si="70"/>
        <v>577835.95113438042</v>
      </c>
      <c r="AE263" s="580">
        <f t="shared" si="70"/>
        <v>609929.07801418437</v>
      </c>
      <c r="AF263" s="822"/>
      <c r="AG263" s="828"/>
      <c r="AH263" s="822"/>
      <c r="AI263" s="822"/>
      <c r="AJ263" s="822"/>
      <c r="AK263" s="806"/>
      <c r="AL263" s="806"/>
      <c r="AM263" s="806"/>
      <c r="AN263" s="806"/>
      <c r="AO263" s="806"/>
      <c r="AP263" s="806"/>
      <c r="AQ263" s="806"/>
      <c r="AR263" s="806"/>
      <c r="AS263" s="806"/>
      <c r="AT263" s="806"/>
      <c r="AU263" s="806"/>
      <c r="AV263" s="806"/>
      <c r="AW263" s="806"/>
      <c r="AX263" s="806"/>
      <c r="AY263" s="806"/>
    </row>
    <row r="264" spans="1:51" ht="28.9" customHeight="1" x14ac:dyDescent="0.25">
      <c r="A264" s="828"/>
      <c r="B264" s="822"/>
      <c r="C264" s="822"/>
      <c r="D264" s="579" t="s">
        <v>351</v>
      </c>
      <c r="E264" s="582"/>
      <c r="F264" s="582"/>
      <c r="G264" s="582"/>
      <c r="H264" s="582"/>
      <c r="I264" s="580"/>
      <c r="J264" s="580"/>
      <c r="K264" s="580"/>
      <c r="L264" s="580"/>
      <c r="M264" s="580"/>
      <c r="N264" s="586"/>
      <c r="O264" s="582"/>
      <c r="P264" s="580"/>
      <c r="Q264" s="580"/>
      <c r="R264" s="580"/>
      <c r="S264" s="580"/>
      <c r="T264" s="581"/>
      <c r="U264" s="580"/>
      <c r="V264" s="581"/>
      <c r="W264" s="580"/>
      <c r="X264" s="580"/>
      <c r="Y264" s="580"/>
      <c r="Z264" s="580">
        <f t="shared" si="70"/>
        <v>0</v>
      </c>
      <c r="AA264" s="581">
        <f t="shared" si="70"/>
        <v>0</v>
      </c>
      <c r="AB264" s="574">
        <f t="shared" si="70"/>
        <v>0</v>
      </c>
      <c r="AC264" s="580">
        <f t="shared" si="70"/>
        <v>0</v>
      </c>
      <c r="AD264" s="580">
        <f t="shared" si="70"/>
        <v>0</v>
      </c>
      <c r="AE264" s="580">
        <f t="shared" si="70"/>
        <v>0</v>
      </c>
      <c r="AF264" s="822"/>
      <c r="AG264" s="828"/>
      <c r="AH264" s="822"/>
      <c r="AI264" s="822"/>
      <c r="AJ264" s="822"/>
      <c r="AK264" s="806"/>
      <c r="AL264" s="806"/>
      <c r="AM264" s="806"/>
      <c r="AN264" s="806"/>
      <c r="AO264" s="806"/>
      <c r="AP264" s="806"/>
      <c r="AQ264" s="806"/>
      <c r="AR264" s="806"/>
      <c r="AS264" s="806"/>
      <c r="AT264" s="806"/>
      <c r="AU264" s="806"/>
      <c r="AV264" s="806"/>
      <c r="AW264" s="806"/>
      <c r="AX264" s="806"/>
      <c r="AY264" s="806"/>
    </row>
    <row r="265" spans="1:51" ht="28.9" customHeight="1" x14ac:dyDescent="0.25">
      <c r="A265" s="828"/>
      <c r="B265" s="822"/>
      <c r="C265" s="822"/>
      <c r="D265" s="578" t="s">
        <v>352</v>
      </c>
      <c r="E265" s="582"/>
      <c r="F265" s="582"/>
      <c r="G265" s="582"/>
      <c r="H265" s="582"/>
      <c r="I265" s="574"/>
      <c r="J265" s="574"/>
      <c r="K265" s="574"/>
      <c r="L265" s="574"/>
      <c r="M265" s="574"/>
      <c r="N265" s="573"/>
      <c r="O265" s="573"/>
      <c r="P265" s="574"/>
      <c r="Q265" s="580"/>
      <c r="R265" s="580"/>
      <c r="S265" s="580"/>
      <c r="T265" s="580"/>
      <c r="U265" s="580"/>
      <c r="V265" s="580"/>
      <c r="W265" s="580"/>
      <c r="X265" s="580"/>
      <c r="Y265" s="580"/>
      <c r="Z265" s="580">
        <f t="shared" si="70"/>
        <v>0</v>
      </c>
      <c r="AA265" s="574">
        <f t="shared" si="70"/>
        <v>0</v>
      </c>
      <c r="AB265" s="574">
        <f t="shared" si="70"/>
        <v>0</v>
      </c>
      <c r="AC265" s="580">
        <f t="shared" si="70"/>
        <v>0</v>
      </c>
      <c r="AD265" s="580">
        <f t="shared" si="70"/>
        <v>0</v>
      </c>
      <c r="AE265" s="580">
        <f t="shared" si="70"/>
        <v>0</v>
      </c>
      <c r="AF265" s="822"/>
      <c r="AG265" s="828"/>
      <c r="AH265" s="822"/>
      <c r="AI265" s="822"/>
      <c r="AJ265" s="822"/>
      <c r="AK265" s="806"/>
      <c r="AL265" s="806"/>
      <c r="AM265" s="806"/>
      <c r="AN265" s="806"/>
      <c r="AO265" s="806"/>
      <c r="AP265" s="806"/>
      <c r="AQ265" s="806"/>
      <c r="AR265" s="806"/>
      <c r="AS265" s="806"/>
      <c r="AT265" s="806"/>
      <c r="AU265" s="806"/>
      <c r="AV265" s="806"/>
      <c r="AW265" s="806"/>
      <c r="AX265" s="806"/>
      <c r="AY265" s="806"/>
    </row>
    <row r="266" spans="1:51" ht="28.9" customHeight="1" x14ac:dyDescent="0.25">
      <c r="A266" s="828"/>
      <c r="B266" s="822"/>
      <c r="C266" s="822"/>
      <c r="D266" s="579" t="s">
        <v>353</v>
      </c>
      <c r="E266" s="582"/>
      <c r="F266" s="582"/>
      <c r="G266" s="582"/>
      <c r="H266" s="582"/>
      <c r="I266" s="580"/>
      <c r="J266" s="580"/>
      <c r="K266" s="580"/>
      <c r="L266" s="580"/>
      <c r="M266" s="580">
        <v>100</v>
      </c>
      <c r="N266" s="582">
        <v>100</v>
      </c>
      <c r="O266" s="582">
        <v>100</v>
      </c>
      <c r="P266" s="580">
        <v>100</v>
      </c>
      <c r="Q266" s="580">
        <v>100</v>
      </c>
      <c r="R266" s="580">
        <v>100</v>
      </c>
      <c r="S266" s="580"/>
      <c r="T266" s="581"/>
      <c r="U266" s="580"/>
      <c r="V266" s="581"/>
      <c r="W266" s="580"/>
      <c r="X266" s="580"/>
      <c r="Y266" s="580"/>
      <c r="Z266" s="580">
        <f t="shared" si="70"/>
        <v>100</v>
      </c>
      <c r="AA266" s="580">
        <f t="shared" si="70"/>
        <v>100</v>
      </c>
      <c r="AB266" s="574">
        <f t="shared" si="70"/>
        <v>100</v>
      </c>
      <c r="AC266" s="580">
        <f t="shared" si="70"/>
        <v>100</v>
      </c>
      <c r="AD266" s="580">
        <f t="shared" si="70"/>
        <v>100</v>
      </c>
      <c r="AE266" s="580">
        <f t="shared" si="70"/>
        <v>100</v>
      </c>
      <c r="AF266" s="822"/>
      <c r="AG266" s="828"/>
      <c r="AH266" s="822"/>
      <c r="AI266" s="822"/>
      <c r="AJ266" s="822"/>
      <c r="AK266" s="806"/>
      <c r="AL266" s="806"/>
      <c r="AM266" s="806"/>
      <c r="AN266" s="806"/>
      <c r="AO266" s="806"/>
      <c r="AP266" s="806"/>
      <c r="AQ266" s="806"/>
      <c r="AR266" s="806"/>
      <c r="AS266" s="806"/>
      <c r="AT266" s="806"/>
      <c r="AU266" s="806"/>
      <c r="AV266" s="806"/>
      <c r="AW266" s="806"/>
      <c r="AX266" s="806"/>
      <c r="AY266" s="806"/>
    </row>
    <row r="267" spans="1:51" ht="28.9" customHeight="1" x14ac:dyDescent="0.25">
      <c r="A267" s="828"/>
      <c r="B267" s="822"/>
      <c r="C267" s="823"/>
      <c r="D267" s="578" t="s">
        <v>354</v>
      </c>
      <c r="E267" s="582"/>
      <c r="F267" s="582"/>
      <c r="G267" s="573"/>
      <c r="H267" s="582"/>
      <c r="I267" s="580"/>
      <c r="J267" s="580"/>
      <c r="K267" s="580"/>
      <c r="L267" s="580"/>
      <c r="M267" s="580">
        <f t="shared" ref="M267:R267" si="72">+M263+M265</f>
        <v>909615.38461538462</v>
      </c>
      <c r="N267" s="582">
        <f t="shared" si="72"/>
        <v>768035.25864068663</v>
      </c>
      <c r="O267" s="582">
        <f t="shared" si="72"/>
        <v>676266.33986928104</v>
      </c>
      <c r="P267" s="580">
        <f t="shared" si="72"/>
        <v>601234.79208280367</v>
      </c>
      <c r="Q267" s="580">
        <f t="shared" si="72"/>
        <v>577835.95113438042</v>
      </c>
      <c r="R267" s="580">
        <f t="shared" si="72"/>
        <v>609929.07801418437</v>
      </c>
      <c r="S267" s="580"/>
      <c r="T267" s="574"/>
      <c r="U267" s="580"/>
      <c r="V267" s="580"/>
      <c r="W267" s="580"/>
      <c r="X267" s="580"/>
      <c r="Y267" s="580"/>
      <c r="Z267" s="580">
        <f t="shared" si="70"/>
        <v>909615.38461538462</v>
      </c>
      <c r="AA267" s="580">
        <f t="shared" si="70"/>
        <v>768035.25864068663</v>
      </c>
      <c r="AB267" s="574">
        <f t="shared" si="70"/>
        <v>676266.33986928104</v>
      </c>
      <c r="AC267" s="580">
        <f t="shared" si="70"/>
        <v>601234.79208280367</v>
      </c>
      <c r="AD267" s="580">
        <f t="shared" si="70"/>
        <v>577835.95113438042</v>
      </c>
      <c r="AE267" s="580">
        <f t="shared" si="70"/>
        <v>609929.07801418437</v>
      </c>
      <c r="AF267" s="823"/>
      <c r="AG267" s="829"/>
      <c r="AH267" s="823"/>
      <c r="AI267" s="823"/>
      <c r="AJ267" s="823"/>
      <c r="AK267" s="807"/>
      <c r="AL267" s="807"/>
      <c r="AM267" s="807"/>
      <c r="AN267" s="807"/>
      <c r="AO267" s="807"/>
      <c r="AP267" s="807"/>
      <c r="AQ267" s="807"/>
      <c r="AR267" s="807"/>
      <c r="AS267" s="807"/>
      <c r="AT267" s="807"/>
      <c r="AU267" s="807"/>
      <c r="AV267" s="807"/>
      <c r="AW267" s="807"/>
      <c r="AX267" s="807"/>
      <c r="AY267" s="806"/>
    </row>
    <row r="268" spans="1:51" ht="19.149999999999999" customHeight="1" x14ac:dyDescent="0.25">
      <c r="A268" s="828"/>
      <c r="B268" s="822"/>
      <c r="C268" s="821" t="s">
        <v>681</v>
      </c>
      <c r="D268" s="572" t="s">
        <v>345</v>
      </c>
      <c r="E268" s="582"/>
      <c r="F268" s="582"/>
      <c r="G268" s="582"/>
      <c r="H268" s="582"/>
      <c r="I268" s="580"/>
      <c r="J268" s="580"/>
      <c r="K268" s="580"/>
      <c r="L268" s="580"/>
      <c r="M268" s="580">
        <v>80</v>
      </c>
      <c r="N268" s="586">
        <v>80</v>
      </c>
      <c r="O268" s="573">
        <v>80</v>
      </c>
      <c r="P268" s="580">
        <v>80</v>
      </c>
      <c r="Q268" s="580">
        <v>80</v>
      </c>
      <c r="R268" s="580">
        <v>80</v>
      </c>
      <c r="S268" s="580"/>
      <c r="T268" s="580"/>
      <c r="U268" s="580"/>
      <c r="V268" s="581"/>
      <c r="W268" s="580"/>
      <c r="X268" s="580"/>
      <c r="Y268" s="580"/>
      <c r="Z268" s="580">
        <f t="shared" si="70"/>
        <v>80</v>
      </c>
      <c r="AA268" s="581">
        <f t="shared" si="70"/>
        <v>80</v>
      </c>
      <c r="AB268" s="574">
        <f t="shared" si="70"/>
        <v>80</v>
      </c>
      <c r="AC268" s="580">
        <f t="shared" si="70"/>
        <v>80</v>
      </c>
      <c r="AD268" s="580">
        <f t="shared" si="70"/>
        <v>80</v>
      </c>
      <c r="AE268" s="580">
        <f t="shared" si="70"/>
        <v>80</v>
      </c>
      <c r="AF268" s="887" t="s">
        <v>682</v>
      </c>
      <c r="AG268" s="827" t="s">
        <v>511</v>
      </c>
      <c r="AH268" s="824" t="s">
        <v>683</v>
      </c>
      <c r="AI268" s="824" t="s">
        <v>684</v>
      </c>
      <c r="AJ268" s="821" t="s">
        <v>678</v>
      </c>
      <c r="AK268" s="826" t="s">
        <v>490</v>
      </c>
      <c r="AL268" s="826" t="s">
        <v>178</v>
      </c>
      <c r="AM268" s="826" t="s">
        <v>491</v>
      </c>
      <c r="AN268" s="820">
        <v>179406</v>
      </c>
      <c r="AO268" s="820">
        <v>86201</v>
      </c>
      <c r="AP268" s="820">
        <v>93205</v>
      </c>
      <c r="AQ268" s="805" t="s">
        <v>492</v>
      </c>
      <c r="AR268" s="805" t="s">
        <v>492</v>
      </c>
      <c r="AS268" s="805" t="s">
        <v>492</v>
      </c>
      <c r="AT268" s="805" t="s">
        <v>492</v>
      </c>
      <c r="AU268" s="805" t="s">
        <v>492</v>
      </c>
      <c r="AV268" s="805" t="s">
        <v>492</v>
      </c>
      <c r="AW268" s="805" t="s">
        <v>492</v>
      </c>
      <c r="AX268" s="808">
        <v>175418</v>
      </c>
      <c r="AY268" s="806"/>
    </row>
    <row r="269" spans="1:51" ht="19.149999999999999" customHeight="1" x14ac:dyDescent="0.25">
      <c r="A269" s="828"/>
      <c r="B269" s="822"/>
      <c r="C269" s="822"/>
      <c r="D269" s="578" t="s">
        <v>349</v>
      </c>
      <c r="E269" s="582"/>
      <c r="F269" s="582"/>
      <c r="G269" s="573"/>
      <c r="H269" s="582"/>
      <c r="I269" s="580"/>
      <c r="J269" s="580"/>
      <c r="K269" s="580"/>
      <c r="L269" s="580"/>
      <c r="M269" s="580">
        <f>+M268*$Z$251/$Z$250</f>
        <v>727692.30769230775</v>
      </c>
      <c r="N269" s="582">
        <f>+N268*$AA$251/$AA$250</f>
        <v>614428.20691254933</v>
      </c>
      <c r="O269" s="582">
        <f>+O268*$AB$251/$AB$250</f>
        <v>541013.07189542486</v>
      </c>
      <c r="P269" s="580">
        <f>+P268*$AC$251/$AC$250</f>
        <v>480987.83366624295</v>
      </c>
      <c r="Q269" s="580">
        <f>+Q268*$AD$251/$AD$250</f>
        <v>462268.76090750436</v>
      </c>
      <c r="R269" s="580">
        <f>+R268*$AE$251/$AE$250</f>
        <v>487943.26241134753</v>
      </c>
      <c r="S269" s="580"/>
      <c r="T269" s="574"/>
      <c r="U269" s="580"/>
      <c r="V269" s="580"/>
      <c r="W269" s="580"/>
      <c r="X269" s="580"/>
      <c r="Y269" s="580"/>
      <c r="Z269" s="580">
        <f t="shared" si="70"/>
        <v>727692.30769230775</v>
      </c>
      <c r="AA269" s="580">
        <f t="shared" si="70"/>
        <v>614428.20691254933</v>
      </c>
      <c r="AB269" s="574">
        <f t="shared" si="70"/>
        <v>541013.07189542486</v>
      </c>
      <c r="AC269" s="580">
        <f t="shared" si="70"/>
        <v>480987.83366624295</v>
      </c>
      <c r="AD269" s="580">
        <f t="shared" si="70"/>
        <v>462268.76090750436</v>
      </c>
      <c r="AE269" s="580">
        <f t="shared" si="70"/>
        <v>487943.26241134753</v>
      </c>
      <c r="AF269" s="822"/>
      <c r="AG269" s="828"/>
      <c r="AH269" s="822"/>
      <c r="AI269" s="822"/>
      <c r="AJ269" s="822"/>
      <c r="AK269" s="806"/>
      <c r="AL269" s="806"/>
      <c r="AM269" s="806"/>
      <c r="AN269" s="806"/>
      <c r="AO269" s="806"/>
      <c r="AP269" s="806"/>
      <c r="AQ269" s="806"/>
      <c r="AR269" s="806"/>
      <c r="AS269" s="806"/>
      <c r="AT269" s="806"/>
      <c r="AU269" s="806"/>
      <c r="AV269" s="806"/>
      <c r="AW269" s="806"/>
      <c r="AX269" s="806"/>
      <c r="AY269" s="806"/>
    </row>
    <row r="270" spans="1:51" ht="28.9" customHeight="1" x14ac:dyDescent="0.25">
      <c r="A270" s="828"/>
      <c r="B270" s="822"/>
      <c r="C270" s="822"/>
      <c r="D270" s="579" t="s">
        <v>351</v>
      </c>
      <c r="E270" s="582"/>
      <c r="F270" s="582"/>
      <c r="G270" s="582"/>
      <c r="H270" s="582"/>
      <c r="I270" s="580"/>
      <c r="J270" s="580"/>
      <c r="K270" s="580"/>
      <c r="L270" s="580"/>
      <c r="M270" s="580"/>
      <c r="N270" s="586"/>
      <c r="O270" s="582"/>
      <c r="P270" s="580"/>
      <c r="Q270" s="580"/>
      <c r="R270" s="580"/>
      <c r="S270" s="580"/>
      <c r="T270" s="581"/>
      <c r="U270" s="580"/>
      <c r="V270" s="581"/>
      <c r="W270" s="580"/>
      <c r="X270" s="580"/>
      <c r="Y270" s="580"/>
      <c r="Z270" s="580">
        <f t="shared" si="70"/>
        <v>0</v>
      </c>
      <c r="AA270" s="581">
        <f t="shared" si="70"/>
        <v>0</v>
      </c>
      <c r="AB270" s="574">
        <f t="shared" si="70"/>
        <v>0</v>
      </c>
      <c r="AC270" s="580">
        <f t="shared" si="70"/>
        <v>0</v>
      </c>
      <c r="AD270" s="580">
        <f t="shared" si="70"/>
        <v>0</v>
      </c>
      <c r="AE270" s="580">
        <f t="shared" si="70"/>
        <v>0</v>
      </c>
      <c r="AF270" s="822"/>
      <c r="AG270" s="828"/>
      <c r="AH270" s="822"/>
      <c r="AI270" s="822"/>
      <c r="AJ270" s="822"/>
      <c r="AK270" s="806"/>
      <c r="AL270" s="806"/>
      <c r="AM270" s="806"/>
      <c r="AN270" s="806"/>
      <c r="AO270" s="806"/>
      <c r="AP270" s="806"/>
      <c r="AQ270" s="806"/>
      <c r="AR270" s="806"/>
      <c r="AS270" s="806"/>
      <c r="AT270" s="806"/>
      <c r="AU270" s="806"/>
      <c r="AV270" s="806"/>
      <c r="AW270" s="806"/>
      <c r="AX270" s="806"/>
      <c r="AY270" s="806"/>
    </row>
    <row r="271" spans="1:51" ht="28.9" customHeight="1" x14ac:dyDescent="0.25">
      <c r="A271" s="828"/>
      <c r="B271" s="822"/>
      <c r="C271" s="822"/>
      <c r="D271" s="578" t="s">
        <v>352</v>
      </c>
      <c r="E271" s="582"/>
      <c r="F271" s="582"/>
      <c r="G271" s="582"/>
      <c r="H271" s="582"/>
      <c r="I271" s="574"/>
      <c r="J271" s="574"/>
      <c r="K271" s="574"/>
      <c r="L271" s="574"/>
      <c r="M271" s="574"/>
      <c r="N271" s="573"/>
      <c r="O271" s="573"/>
      <c r="P271" s="574"/>
      <c r="Q271" s="580"/>
      <c r="R271" s="580"/>
      <c r="S271" s="580"/>
      <c r="T271" s="580"/>
      <c r="U271" s="580"/>
      <c r="V271" s="580"/>
      <c r="W271" s="580"/>
      <c r="X271" s="580"/>
      <c r="Y271" s="580"/>
      <c r="Z271" s="580">
        <f t="shared" si="70"/>
        <v>0</v>
      </c>
      <c r="AA271" s="574">
        <f t="shared" si="70"/>
        <v>0</v>
      </c>
      <c r="AB271" s="574">
        <f t="shared" si="70"/>
        <v>0</v>
      </c>
      <c r="AC271" s="580">
        <f t="shared" si="70"/>
        <v>0</v>
      </c>
      <c r="AD271" s="580">
        <f t="shared" si="70"/>
        <v>0</v>
      </c>
      <c r="AE271" s="580">
        <f t="shared" si="70"/>
        <v>0</v>
      </c>
      <c r="AF271" s="822"/>
      <c r="AG271" s="828"/>
      <c r="AH271" s="822"/>
      <c r="AI271" s="822"/>
      <c r="AJ271" s="822"/>
      <c r="AK271" s="806"/>
      <c r="AL271" s="806"/>
      <c r="AM271" s="806"/>
      <c r="AN271" s="806"/>
      <c r="AO271" s="806"/>
      <c r="AP271" s="806"/>
      <c r="AQ271" s="806"/>
      <c r="AR271" s="806"/>
      <c r="AS271" s="806"/>
      <c r="AT271" s="806"/>
      <c r="AU271" s="806"/>
      <c r="AV271" s="806"/>
      <c r="AW271" s="806"/>
      <c r="AX271" s="806"/>
      <c r="AY271" s="806"/>
    </row>
    <row r="272" spans="1:51" ht="28.9" customHeight="1" x14ac:dyDescent="0.25">
      <c r="A272" s="828"/>
      <c r="B272" s="822"/>
      <c r="C272" s="822"/>
      <c r="D272" s="579" t="s">
        <v>353</v>
      </c>
      <c r="E272" s="582"/>
      <c r="F272" s="582"/>
      <c r="G272" s="582"/>
      <c r="H272" s="582"/>
      <c r="I272" s="580"/>
      <c r="J272" s="580"/>
      <c r="K272" s="580"/>
      <c r="L272" s="580"/>
      <c r="M272" s="580">
        <v>80</v>
      </c>
      <c r="N272" s="582">
        <v>80</v>
      </c>
      <c r="O272" s="582">
        <v>80</v>
      </c>
      <c r="P272" s="580">
        <v>80</v>
      </c>
      <c r="Q272" s="580">
        <v>80</v>
      </c>
      <c r="R272" s="580">
        <v>80</v>
      </c>
      <c r="S272" s="580"/>
      <c r="T272" s="581"/>
      <c r="U272" s="580"/>
      <c r="V272" s="581"/>
      <c r="W272" s="580"/>
      <c r="X272" s="580"/>
      <c r="Y272" s="580"/>
      <c r="Z272" s="580">
        <f t="shared" ref="Z272:AE287" si="73">+M272</f>
        <v>80</v>
      </c>
      <c r="AA272" s="580">
        <f t="shared" si="73"/>
        <v>80</v>
      </c>
      <c r="AB272" s="574">
        <f t="shared" si="73"/>
        <v>80</v>
      </c>
      <c r="AC272" s="580">
        <f t="shared" si="73"/>
        <v>80</v>
      </c>
      <c r="AD272" s="580">
        <f t="shared" si="73"/>
        <v>80</v>
      </c>
      <c r="AE272" s="580">
        <f t="shared" si="73"/>
        <v>80</v>
      </c>
      <c r="AF272" s="822"/>
      <c r="AG272" s="828"/>
      <c r="AH272" s="822"/>
      <c r="AI272" s="822"/>
      <c r="AJ272" s="822"/>
      <c r="AK272" s="806"/>
      <c r="AL272" s="806"/>
      <c r="AM272" s="806"/>
      <c r="AN272" s="806"/>
      <c r="AO272" s="806"/>
      <c r="AP272" s="806"/>
      <c r="AQ272" s="806"/>
      <c r="AR272" s="806"/>
      <c r="AS272" s="806"/>
      <c r="AT272" s="806"/>
      <c r="AU272" s="806"/>
      <c r="AV272" s="806"/>
      <c r="AW272" s="806"/>
      <c r="AX272" s="806"/>
      <c r="AY272" s="806"/>
    </row>
    <row r="273" spans="1:51" ht="28.9" customHeight="1" x14ac:dyDescent="0.25">
      <c r="A273" s="828"/>
      <c r="B273" s="822"/>
      <c r="C273" s="823"/>
      <c r="D273" s="578" t="s">
        <v>354</v>
      </c>
      <c r="E273" s="582"/>
      <c r="F273" s="582"/>
      <c r="G273" s="573"/>
      <c r="H273" s="582"/>
      <c r="I273" s="580"/>
      <c r="J273" s="580"/>
      <c r="K273" s="580"/>
      <c r="L273" s="580"/>
      <c r="M273" s="580">
        <f t="shared" ref="M273:R273" si="74">+M269+M271</f>
        <v>727692.30769230775</v>
      </c>
      <c r="N273" s="582">
        <f t="shared" si="74"/>
        <v>614428.20691254933</v>
      </c>
      <c r="O273" s="582">
        <f t="shared" si="74"/>
        <v>541013.07189542486</v>
      </c>
      <c r="P273" s="580">
        <f t="shared" si="74"/>
        <v>480987.83366624295</v>
      </c>
      <c r="Q273" s="580">
        <f t="shared" si="74"/>
        <v>462268.76090750436</v>
      </c>
      <c r="R273" s="580">
        <f t="shared" si="74"/>
        <v>487943.26241134753</v>
      </c>
      <c r="S273" s="580"/>
      <c r="T273" s="574"/>
      <c r="U273" s="580"/>
      <c r="V273" s="580"/>
      <c r="W273" s="580"/>
      <c r="X273" s="580"/>
      <c r="Y273" s="580"/>
      <c r="Z273" s="580">
        <f t="shared" si="73"/>
        <v>727692.30769230775</v>
      </c>
      <c r="AA273" s="580">
        <f t="shared" si="73"/>
        <v>614428.20691254933</v>
      </c>
      <c r="AB273" s="574">
        <f t="shared" si="73"/>
        <v>541013.07189542486</v>
      </c>
      <c r="AC273" s="580">
        <f t="shared" si="73"/>
        <v>480987.83366624295</v>
      </c>
      <c r="AD273" s="580">
        <f t="shared" si="73"/>
        <v>462268.76090750436</v>
      </c>
      <c r="AE273" s="580">
        <f t="shared" si="73"/>
        <v>487943.26241134753</v>
      </c>
      <c r="AF273" s="823"/>
      <c r="AG273" s="829"/>
      <c r="AH273" s="823"/>
      <c r="AI273" s="823"/>
      <c r="AJ273" s="823"/>
      <c r="AK273" s="807"/>
      <c r="AL273" s="807"/>
      <c r="AM273" s="807"/>
      <c r="AN273" s="807"/>
      <c r="AO273" s="807"/>
      <c r="AP273" s="807"/>
      <c r="AQ273" s="807"/>
      <c r="AR273" s="807"/>
      <c r="AS273" s="807"/>
      <c r="AT273" s="807"/>
      <c r="AU273" s="807"/>
      <c r="AV273" s="807"/>
      <c r="AW273" s="807"/>
      <c r="AX273" s="807"/>
      <c r="AY273" s="806"/>
    </row>
    <row r="274" spans="1:51" ht="19.149999999999999" customHeight="1" x14ac:dyDescent="0.25">
      <c r="A274" s="828"/>
      <c r="B274" s="822"/>
      <c r="C274" s="821" t="s">
        <v>685</v>
      </c>
      <c r="D274" s="572" t="s">
        <v>345</v>
      </c>
      <c r="E274" s="582"/>
      <c r="F274" s="582"/>
      <c r="G274" s="582"/>
      <c r="H274" s="582"/>
      <c r="I274" s="580"/>
      <c r="J274" s="580"/>
      <c r="K274" s="580"/>
      <c r="L274" s="580">
        <v>150</v>
      </c>
      <c r="M274" s="580">
        <v>150</v>
      </c>
      <c r="N274" s="586">
        <v>150</v>
      </c>
      <c r="O274" s="573">
        <v>150</v>
      </c>
      <c r="P274" s="580">
        <v>150</v>
      </c>
      <c r="Q274" s="580">
        <v>150</v>
      </c>
      <c r="R274" s="580">
        <v>150</v>
      </c>
      <c r="S274" s="580"/>
      <c r="T274" s="580"/>
      <c r="U274" s="580"/>
      <c r="V274" s="581"/>
      <c r="W274" s="580"/>
      <c r="X274" s="580"/>
      <c r="Y274" s="603">
        <v>150</v>
      </c>
      <c r="Z274" s="580">
        <f t="shared" si="73"/>
        <v>150</v>
      </c>
      <c r="AA274" s="581">
        <f t="shared" si="73"/>
        <v>150</v>
      </c>
      <c r="AB274" s="574">
        <f t="shared" si="73"/>
        <v>150</v>
      </c>
      <c r="AC274" s="580">
        <f t="shared" si="73"/>
        <v>150</v>
      </c>
      <c r="AD274" s="580">
        <f t="shared" si="73"/>
        <v>150</v>
      </c>
      <c r="AE274" s="580">
        <f t="shared" si="73"/>
        <v>150</v>
      </c>
      <c r="AF274" s="887" t="s">
        <v>686</v>
      </c>
      <c r="AG274" s="827" t="s">
        <v>653</v>
      </c>
      <c r="AH274" s="824" t="s">
        <v>687</v>
      </c>
      <c r="AI274" s="824" t="s">
        <v>688</v>
      </c>
      <c r="AJ274" s="821" t="s">
        <v>678</v>
      </c>
      <c r="AK274" s="826" t="s">
        <v>490</v>
      </c>
      <c r="AL274" s="826" t="s">
        <v>178</v>
      </c>
      <c r="AM274" s="826" t="s">
        <v>672</v>
      </c>
      <c r="AN274" s="820">
        <v>167657</v>
      </c>
      <c r="AO274" s="820">
        <v>71468</v>
      </c>
      <c r="AP274" s="820">
        <v>96189</v>
      </c>
      <c r="AQ274" s="844" t="s">
        <v>492</v>
      </c>
      <c r="AR274" s="844" t="s">
        <v>492</v>
      </c>
      <c r="AS274" s="844" t="s">
        <v>492</v>
      </c>
      <c r="AT274" s="844" t="s">
        <v>492</v>
      </c>
      <c r="AU274" s="805" t="s">
        <v>492</v>
      </c>
      <c r="AV274" s="805" t="s">
        <v>492</v>
      </c>
      <c r="AW274" s="805" t="s">
        <v>492</v>
      </c>
      <c r="AX274" s="808">
        <v>167657</v>
      </c>
      <c r="AY274" s="806"/>
    </row>
    <row r="275" spans="1:51" ht="19.149999999999999" customHeight="1" x14ac:dyDescent="0.25">
      <c r="A275" s="828"/>
      <c r="B275" s="822"/>
      <c r="C275" s="822"/>
      <c r="D275" s="578" t="s">
        <v>349</v>
      </c>
      <c r="E275" s="582"/>
      <c r="F275" s="582"/>
      <c r="G275" s="582"/>
      <c r="H275" s="582"/>
      <c r="I275" s="580"/>
      <c r="J275" s="580"/>
      <c r="K275" s="580"/>
      <c r="L275" s="580">
        <v>1620391.5171288743</v>
      </c>
      <c r="M275" s="580">
        <f>+M274*$Z$251/$Z$250</f>
        <v>1364423.076923077</v>
      </c>
      <c r="N275" s="582">
        <f>+N274*$AA$251/$AA$250</f>
        <v>1152052.88796103</v>
      </c>
      <c r="O275" s="582">
        <f>+O274*$AB$251/$AB$250</f>
        <v>1014399.5098039216</v>
      </c>
      <c r="P275" s="580">
        <f>+P274*$AC$251/$AC$250</f>
        <v>901852.18812420557</v>
      </c>
      <c r="Q275" s="580">
        <f>+Q274*$AD$251/$AD$250</f>
        <v>866753.92670157063</v>
      </c>
      <c r="R275" s="580">
        <f>+R274*$AE$251/$AE$250</f>
        <v>914893.61702127662</v>
      </c>
      <c r="S275" s="580"/>
      <c r="T275" s="580"/>
      <c r="U275" s="580"/>
      <c r="V275" s="580"/>
      <c r="W275" s="580"/>
      <c r="X275" s="580"/>
      <c r="Y275" s="603">
        <v>1620391.5171288743</v>
      </c>
      <c r="Z275" s="580">
        <f t="shared" si="73"/>
        <v>1364423.076923077</v>
      </c>
      <c r="AA275" s="580">
        <f t="shared" si="73"/>
        <v>1152052.88796103</v>
      </c>
      <c r="AB275" s="574">
        <f t="shared" si="73"/>
        <v>1014399.5098039216</v>
      </c>
      <c r="AC275" s="580">
        <f t="shared" si="73"/>
        <v>901852.18812420557</v>
      </c>
      <c r="AD275" s="580">
        <f t="shared" si="73"/>
        <v>866753.92670157063</v>
      </c>
      <c r="AE275" s="580">
        <f t="shared" si="73"/>
        <v>914893.61702127662</v>
      </c>
      <c r="AF275" s="822"/>
      <c r="AG275" s="828"/>
      <c r="AH275" s="822"/>
      <c r="AI275" s="822"/>
      <c r="AJ275" s="822"/>
      <c r="AK275" s="806"/>
      <c r="AL275" s="806"/>
      <c r="AM275" s="806"/>
      <c r="AN275" s="806"/>
      <c r="AO275" s="806"/>
      <c r="AP275" s="806"/>
      <c r="AQ275" s="806"/>
      <c r="AR275" s="806"/>
      <c r="AS275" s="806"/>
      <c r="AT275" s="806"/>
      <c r="AU275" s="806"/>
      <c r="AV275" s="806"/>
      <c r="AW275" s="806"/>
      <c r="AX275" s="806"/>
      <c r="AY275" s="806"/>
    </row>
    <row r="276" spans="1:51" ht="28.9" customHeight="1" x14ac:dyDescent="0.25">
      <c r="A276" s="828"/>
      <c r="B276" s="822"/>
      <c r="C276" s="822"/>
      <c r="D276" s="579" t="s">
        <v>351</v>
      </c>
      <c r="E276" s="582"/>
      <c r="F276" s="582"/>
      <c r="G276" s="582"/>
      <c r="H276" s="582"/>
      <c r="I276" s="580"/>
      <c r="J276" s="580"/>
      <c r="K276" s="580"/>
      <c r="L276" s="580"/>
      <c r="M276" s="580"/>
      <c r="N276" s="586"/>
      <c r="O276" s="573"/>
      <c r="P276" s="580"/>
      <c r="Q276" s="580"/>
      <c r="R276" s="580"/>
      <c r="S276" s="580"/>
      <c r="T276" s="581"/>
      <c r="U276" s="580"/>
      <c r="V276" s="581"/>
      <c r="W276" s="580"/>
      <c r="X276" s="580"/>
      <c r="Y276" s="603">
        <v>0</v>
      </c>
      <c r="Z276" s="580">
        <f t="shared" si="73"/>
        <v>0</v>
      </c>
      <c r="AA276" s="581">
        <f t="shared" si="73"/>
        <v>0</v>
      </c>
      <c r="AB276" s="574">
        <f t="shared" si="73"/>
        <v>0</v>
      </c>
      <c r="AC276" s="580">
        <f t="shared" si="73"/>
        <v>0</v>
      </c>
      <c r="AD276" s="580">
        <f t="shared" si="73"/>
        <v>0</v>
      </c>
      <c r="AE276" s="580">
        <f t="shared" si="73"/>
        <v>0</v>
      </c>
      <c r="AF276" s="822"/>
      <c r="AG276" s="828"/>
      <c r="AH276" s="822"/>
      <c r="AI276" s="822"/>
      <c r="AJ276" s="822"/>
      <c r="AK276" s="806"/>
      <c r="AL276" s="806"/>
      <c r="AM276" s="806"/>
      <c r="AN276" s="806"/>
      <c r="AO276" s="806"/>
      <c r="AP276" s="806"/>
      <c r="AQ276" s="806"/>
      <c r="AR276" s="806"/>
      <c r="AS276" s="806"/>
      <c r="AT276" s="806"/>
      <c r="AU276" s="806"/>
      <c r="AV276" s="806"/>
      <c r="AW276" s="806"/>
      <c r="AX276" s="806"/>
      <c r="AY276" s="806"/>
    </row>
    <row r="277" spans="1:51" ht="28.9" customHeight="1" x14ac:dyDescent="0.25">
      <c r="A277" s="828"/>
      <c r="B277" s="822"/>
      <c r="C277" s="822"/>
      <c r="D277" s="578" t="s">
        <v>352</v>
      </c>
      <c r="E277" s="582"/>
      <c r="F277" s="582"/>
      <c r="G277" s="582"/>
      <c r="H277" s="582"/>
      <c r="I277" s="580"/>
      <c r="J277" s="574"/>
      <c r="K277" s="574"/>
      <c r="L277" s="574"/>
      <c r="M277" s="574"/>
      <c r="N277" s="573"/>
      <c r="O277" s="573"/>
      <c r="P277" s="574"/>
      <c r="Q277" s="580"/>
      <c r="R277" s="580"/>
      <c r="S277" s="580"/>
      <c r="T277" s="580"/>
      <c r="U277" s="580"/>
      <c r="V277" s="581"/>
      <c r="W277" s="580"/>
      <c r="X277" s="580"/>
      <c r="Y277" s="603">
        <v>0</v>
      </c>
      <c r="Z277" s="580">
        <f t="shared" si="73"/>
        <v>0</v>
      </c>
      <c r="AA277" s="574">
        <f t="shared" si="73"/>
        <v>0</v>
      </c>
      <c r="AB277" s="574">
        <f t="shared" si="73"/>
        <v>0</v>
      </c>
      <c r="AC277" s="580">
        <f t="shared" si="73"/>
        <v>0</v>
      </c>
      <c r="AD277" s="580">
        <f t="shared" si="73"/>
        <v>0</v>
      </c>
      <c r="AE277" s="580">
        <f t="shared" si="73"/>
        <v>0</v>
      </c>
      <c r="AF277" s="822"/>
      <c r="AG277" s="828"/>
      <c r="AH277" s="822"/>
      <c r="AI277" s="822"/>
      <c r="AJ277" s="822"/>
      <c r="AK277" s="806"/>
      <c r="AL277" s="806"/>
      <c r="AM277" s="806"/>
      <c r="AN277" s="806"/>
      <c r="AO277" s="806"/>
      <c r="AP277" s="806"/>
      <c r="AQ277" s="806"/>
      <c r="AR277" s="806"/>
      <c r="AS277" s="806"/>
      <c r="AT277" s="806"/>
      <c r="AU277" s="806"/>
      <c r="AV277" s="806"/>
      <c r="AW277" s="806"/>
      <c r="AX277" s="806"/>
      <c r="AY277" s="806"/>
    </row>
    <row r="278" spans="1:51" ht="28.9" customHeight="1" x14ac:dyDescent="0.25">
      <c r="A278" s="828"/>
      <c r="B278" s="822"/>
      <c r="C278" s="822"/>
      <c r="D278" s="579" t="s">
        <v>353</v>
      </c>
      <c r="E278" s="582"/>
      <c r="F278" s="582"/>
      <c r="G278" s="582"/>
      <c r="H278" s="582"/>
      <c r="I278" s="580"/>
      <c r="J278" s="580"/>
      <c r="K278" s="580"/>
      <c r="L278" s="580">
        <v>150</v>
      </c>
      <c r="M278" s="580">
        <v>150</v>
      </c>
      <c r="N278" s="582">
        <v>150</v>
      </c>
      <c r="O278" s="582">
        <v>150</v>
      </c>
      <c r="P278" s="580">
        <v>150</v>
      </c>
      <c r="Q278" s="580">
        <v>150</v>
      </c>
      <c r="R278" s="580">
        <v>150</v>
      </c>
      <c r="S278" s="580"/>
      <c r="T278" s="581"/>
      <c r="U278" s="580"/>
      <c r="V278" s="581"/>
      <c r="W278" s="580"/>
      <c r="X278" s="580"/>
      <c r="Y278" s="603">
        <v>150</v>
      </c>
      <c r="Z278" s="580">
        <f t="shared" si="73"/>
        <v>150</v>
      </c>
      <c r="AA278" s="580">
        <f t="shared" si="73"/>
        <v>150</v>
      </c>
      <c r="AB278" s="574">
        <f t="shared" si="73"/>
        <v>150</v>
      </c>
      <c r="AC278" s="580">
        <f t="shared" si="73"/>
        <v>150</v>
      </c>
      <c r="AD278" s="580">
        <f t="shared" si="73"/>
        <v>150</v>
      </c>
      <c r="AE278" s="580">
        <f t="shared" si="73"/>
        <v>150</v>
      </c>
      <c r="AF278" s="822"/>
      <c r="AG278" s="828"/>
      <c r="AH278" s="822"/>
      <c r="AI278" s="822"/>
      <c r="AJ278" s="822"/>
      <c r="AK278" s="806"/>
      <c r="AL278" s="806"/>
      <c r="AM278" s="806"/>
      <c r="AN278" s="806"/>
      <c r="AO278" s="806"/>
      <c r="AP278" s="806"/>
      <c r="AQ278" s="806"/>
      <c r="AR278" s="806"/>
      <c r="AS278" s="806"/>
      <c r="AT278" s="806"/>
      <c r="AU278" s="806"/>
      <c r="AV278" s="806"/>
      <c r="AW278" s="806"/>
      <c r="AX278" s="806"/>
      <c r="AY278" s="806"/>
    </row>
    <row r="279" spans="1:51" ht="28.9" customHeight="1" x14ac:dyDescent="0.25">
      <c r="A279" s="828"/>
      <c r="B279" s="822"/>
      <c r="C279" s="823"/>
      <c r="D279" s="578" t="s">
        <v>354</v>
      </c>
      <c r="E279" s="582"/>
      <c r="F279" s="582"/>
      <c r="G279" s="582"/>
      <c r="H279" s="582"/>
      <c r="I279" s="580"/>
      <c r="J279" s="580"/>
      <c r="K279" s="580"/>
      <c r="L279" s="580">
        <v>1620391.5171288743</v>
      </c>
      <c r="M279" s="580">
        <f t="shared" ref="M279:R279" si="75">+M275+M277</f>
        <v>1364423.076923077</v>
      </c>
      <c r="N279" s="582">
        <f t="shared" si="75"/>
        <v>1152052.88796103</v>
      </c>
      <c r="O279" s="582">
        <f t="shared" si="75"/>
        <v>1014399.5098039216</v>
      </c>
      <c r="P279" s="580">
        <f t="shared" si="75"/>
        <v>901852.18812420557</v>
      </c>
      <c r="Q279" s="580">
        <f t="shared" si="75"/>
        <v>866753.92670157063</v>
      </c>
      <c r="R279" s="580">
        <f t="shared" si="75"/>
        <v>914893.61702127662</v>
      </c>
      <c r="S279" s="580"/>
      <c r="T279" s="581"/>
      <c r="U279" s="580"/>
      <c r="V279" s="580"/>
      <c r="W279" s="580"/>
      <c r="X279" s="580"/>
      <c r="Y279" s="603">
        <v>1620391.5171288743</v>
      </c>
      <c r="Z279" s="580">
        <f t="shared" si="73"/>
        <v>1364423.076923077</v>
      </c>
      <c r="AA279" s="580">
        <f t="shared" si="73"/>
        <v>1152052.88796103</v>
      </c>
      <c r="AB279" s="574">
        <f t="shared" si="73"/>
        <v>1014399.5098039216</v>
      </c>
      <c r="AC279" s="580">
        <f t="shared" si="73"/>
        <v>901852.18812420557</v>
      </c>
      <c r="AD279" s="580">
        <f t="shared" si="73"/>
        <v>866753.92670157063</v>
      </c>
      <c r="AE279" s="580">
        <f t="shared" si="73"/>
        <v>914893.61702127662</v>
      </c>
      <c r="AF279" s="823"/>
      <c r="AG279" s="829"/>
      <c r="AH279" s="823"/>
      <c r="AI279" s="823"/>
      <c r="AJ279" s="823"/>
      <c r="AK279" s="807"/>
      <c r="AL279" s="807"/>
      <c r="AM279" s="807"/>
      <c r="AN279" s="807"/>
      <c r="AO279" s="807"/>
      <c r="AP279" s="807"/>
      <c r="AQ279" s="807"/>
      <c r="AR279" s="807"/>
      <c r="AS279" s="807"/>
      <c r="AT279" s="807"/>
      <c r="AU279" s="807"/>
      <c r="AV279" s="807"/>
      <c r="AW279" s="807"/>
      <c r="AX279" s="807"/>
      <c r="AY279" s="806"/>
    </row>
    <row r="280" spans="1:51" ht="19.149999999999999" customHeight="1" x14ac:dyDescent="0.25">
      <c r="A280" s="828"/>
      <c r="B280" s="822"/>
      <c r="C280" s="821" t="s">
        <v>689</v>
      </c>
      <c r="D280" s="572" t="s">
        <v>345</v>
      </c>
      <c r="E280" s="582"/>
      <c r="F280" s="582"/>
      <c r="G280" s="582"/>
      <c r="H280" s="582"/>
      <c r="I280" s="580"/>
      <c r="J280" s="580"/>
      <c r="K280" s="580"/>
      <c r="L280" s="580"/>
      <c r="M280" s="580"/>
      <c r="N280" s="586"/>
      <c r="O280" s="573"/>
      <c r="P280" s="580"/>
      <c r="Q280" s="580"/>
      <c r="R280" s="580">
        <v>52</v>
      </c>
      <c r="S280" s="580"/>
      <c r="T280" s="580"/>
      <c r="U280" s="580"/>
      <c r="V280" s="581"/>
      <c r="W280" s="580"/>
      <c r="X280" s="580"/>
      <c r="Y280" s="603">
        <v>0</v>
      </c>
      <c r="Z280" s="580">
        <f t="shared" si="73"/>
        <v>0</v>
      </c>
      <c r="AA280" s="581">
        <f t="shared" si="73"/>
        <v>0</v>
      </c>
      <c r="AB280" s="574"/>
      <c r="AC280" s="580"/>
      <c r="AD280" s="580"/>
      <c r="AE280" s="580">
        <f t="shared" si="73"/>
        <v>52</v>
      </c>
      <c r="AF280" s="887" t="s">
        <v>690</v>
      </c>
      <c r="AG280" s="890" t="s">
        <v>691</v>
      </c>
      <c r="AH280" s="824" t="s">
        <v>676</v>
      </c>
      <c r="AI280" s="824" t="s">
        <v>692</v>
      </c>
      <c r="AJ280" s="821" t="s">
        <v>678</v>
      </c>
      <c r="AK280" s="826" t="s">
        <v>490</v>
      </c>
      <c r="AL280" s="826" t="s">
        <v>178</v>
      </c>
      <c r="AM280" s="826" t="s">
        <v>672</v>
      </c>
      <c r="AN280" s="820">
        <v>179406</v>
      </c>
      <c r="AO280" s="820">
        <v>86201</v>
      </c>
      <c r="AP280" s="820">
        <v>93205</v>
      </c>
      <c r="AQ280" s="844" t="s">
        <v>492</v>
      </c>
      <c r="AR280" s="844" t="s">
        <v>492</v>
      </c>
      <c r="AS280" s="844" t="s">
        <v>492</v>
      </c>
      <c r="AT280" s="844" t="s">
        <v>492</v>
      </c>
      <c r="AU280" s="805" t="s">
        <v>492</v>
      </c>
      <c r="AV280" s="805" t="s">
        <v>492</v>
      </c>
      <c r="AW280" s="805" t="s">
        <v>492</v>
      </c>
      <c r="AX280" s="808">
        <v>163231</v>
      </c>
      <c r="AY280" s="604"/>
    </row>
    <row r="281" spans="1:51" ht="19.149999999999999" customHeight="1" x14ac:dyDescent="0.25">
      <c r="A281" s="828"/>
      <c r="B281" s="822"/>
      <c r="C281" s="822"/>
      <c r="D281" s="578" t="s">
        <v>349</v>
      </c>
      <c r="E281" s="582"/>
      <c r="F281" s="582"/>
      <c r="G281" s="582"/>
      <c r="H281" s="582"/>
      <c r="I281" s="580"/>
      <c r="J281" s="580"/>
      <c r="K281" s="580"/>
      <c r="L281" s="580"/>
      <c r="M281" s="580"/>
      <c r="N281" s="582"/>
      <c r="O281" s="573"/>
      <c r="P281" s="580"/>
      <c r="Q281" s="580"/>
      <c r="R281" s="580">
        <f>+R280*$AE$251/$AE$250</f>
        <v>317163.12056737591</v>
      </c>
      <c r="S281" s="580"/>
      <c r="T281" s="581"/>
      <c r="U281" s="580"/>
      <c r="V281" s="580"/>
      <c r="W281" s="580"/>
      <c r="X281" s="580"/>
      <c r="Y281" s="603">
        <v>0</v>
      </c>
      <c r="Z281" s="580">
        <f t="shared" si="73"/>
        <v>0</v>
      </c>
      <c r="AA281" s="580">
        <f t="shared" si="73"/>
        <v>0</v>
      </c>
      <c r="AB281" s="574"/>
      <c r="AC281" s="580"/>
      <c r="AD281" s="580"/>
      <c r="AE281" s="580">
        <f t="shared" si="73"/>
        <v>317163.12056737591</v>
      </c>
      <c r="AF281" s="822"/>
      <c r="AG281" s="828"/>
      <c r="AH281" s="822"/>
      <c r="AI281" s="822"/>
      <c r="AJ281" s="822"/>
      <c r="AK281" s="806"/>
      <c r="AL281" s="806"/>
      <c r="AM281" s="806"/>
      <c r="AN281" s="806"/>
      <c r="AO281" s="806"/>
      <c r="AP281" s="806"/>
      <c r="AQ281" s="806"/>
      <c r="AR281" s="806"/>
      <c r="AS281" s="806"/>
      <c r="AT281" s="806"/>
      <c r="AU281" s="806"/>
      <c r="AV281" s="806"/>
      <c r="AW281" s="806"/>
      <c r="AX281" s="806"/>
      <c r="AY281" s="604"/>
    </row>
    <row r="282" spans="1:51" ht="28.9" customHeight="1" x14ac:dyDescent="0.25">
      <c r="A282" s="828"/>
      <c r="B282" s="822"/>
      <c r="C282" s="822"/>
      <c r="D282" s="579" t="s">
        <v>351</v>
      </c>
      <c r="E282" s="582"/>
      <c r="F282" s="582"/>
      <c r="G282" s="582"/>
      <c r="H282" s="582"/>
      <c r="I282" s="580"/>
      <c r="J282" s="580"/>
      <c r="K282" s="580"/>
      <c r="L282" s="580"/>
      <c r="M282" s="580"/>
      <c r="N282" s="586"/>
      <c r="O282" s="573"/>
      <c r="P282" s="580"/>
      <c r="Q282" s="580"/>
      <c r="R282" s="580"/>
      <c r="S282" s="580"/>
      <c r="T282" s="581"/>
      <c r="U282" s="580"/>
      <c r="V282" s="581"/>
      <c r="W282" s="580"/>
      <c r="X282" s="580"/>
      <c r="Y282" s="603">
        <v>0</v>
      </c>
      <c r="Z282" s="580">
        <f t="shared" si="73"/>
        <v>0</v>
      </c>
      <c r="AA282" s="581">
        <f t="shared" si="73"/>
        <v>0</v>
      </c>
      <c r="AB282" s="574"/>
      <c r="AC282" s="580"/>
      <c r="AD282" s="580"/>
      <c r="AE282" s="580">
        <f t="shared" si="73"/>
        <v>0</v>
      </c>
      <c r="AF282" s="822"/>
      <c r="AG282" s="828"/>
      <c r="AH282" s="822"/>
      <c r="AI282" s="822"/>
      <c r="AJ282" s="822"/>
      <c r="AK282" s="806"/>
      <c r="AL282" s="806"/>
      <c r="AM282" s="806"/>
      <c r="AN282" s="806"/>
      <c r="AO282" s="806"/>
      <c r="AP282" s="806"/>
      <c r="AQ282" s="806"/>
      <c r="AR282" s="806"/>
      <c r="AS282" s="806"/>
      <c r="AT282" s="806"/>
      <c r="AU282" s="806"/>
      <c r="AV282" s="806"/>
      <c r="AW282" s="806"/>
      <c r="AX282" s="806"/>
      <c r="AY282" s="604"/>
    </row>
    <row r="283" spans="1:51" ht="28.9" customHeight="1" x14ac:dyDescent="0.25">
      <c r="A283" s="828"/>
      <c r="B283" s="822"/>
      <c r="C283" s="822"/>
      <c r="D283" s="578" t="s">
        <v>352</v>
      </c>
      <c r="E283" s="582"/>
      <c r="F283" s="582"/>
      <c r="G283" s="582"/>
      <c r="H283" s="582"/>
      <c r="I283" s="580"/>
      <c r="J283" s="580"/>
      <c r="K283" s="580"/>
      <c r="L283" s="580"/>
      <c r="M283" s="580"/>
      <c r="N283" s="586"/>
      <c r="O283" s="573"/>
      <c r="P283" s="580"/>
      <c r="Q283" s="580"/>
      <c r="R283" s="580"/>
      <c r="S283" s="580"/>
      <c r="T283" s="580"/>
      <c r="U283" s="580"/>
      <c r="V283" s="581"/>
      <c r="W283" s="580"/>
      <c r="X283" s="580"/>
      <c r="Y283" s="603">
        <v>0</v>
      </c>
      <c r="Z283" s="580">
        <f t="shared" si="73"/>
        <v>0</v>
      </c>
      <c r="AA283" s="581">
        <f t="shared" si="73"/>
        <v>0</v>
      </c>
      <c r="AB283" s="574"/>
      <c r="AC283" s="580"/>
      <c r="AD283" s="580"/>
      <c r="AE283" s="580">
        <f t="shared" si="73"/>
        <v>0</v>
      </c>
      <c r="AF283" s="822"/>
      <c r="AG283" s="828"/>
      <c r="AH283" s="822"/>
      <c r="AI283" s="822"/>
      <c r="AJ283" s="822"/>
      <c r="AK283" s="806"/>
      <c r="AL283" s="806"/>
      <c r="AM283" s="806"/>
      <c r="AN283" s="806"/>
      <c r="AO283" s="806"/>
      <c r="AP283" s="806"/>
      <c r="AQ283" s="806"/>
      <c r="AR283" s="806"/>
      <c r="AS283" s="806"/>
      <c r="AT283" s="806"/>
      <c r="AU283" s="806"/>
      <c r="AV283" s="806"/>
      <c r="AW283" s="806"/>
      <c r="AX283" s="806"/>
      <c r="AY283" s="604"/>
    </row>
    <row r="284" spans="1:51" ht="28.9" customHeight="1" x14ac:dyDescent="0.25">
      <c r="A284" s="828"/>
      <c r="B284" s="822"/>
      <c r="C284" s="822"/>
      <c r="D284" s="579" t="s">
        <v>353</v>
      </c>
      <c r="E284" s="582"/>
      <c r="F284" s="582"/>
      <c r="G284" s="582"/>
      <c r="H284" s="582"/>
      <c r="I284" s="580"/>
      <c r="J284" s="580"/>
      <c r="K284" s="580"/>
      <c r="L284" s="580"/>
      <c r="M284" s="580"/>
      <c r="N284" s="586"/>
      <c r="O284" s="573"/>
      <c r="P284" s="580"/>
      <c r="Q284" s="580"/>
      <c r="R284" s="580">
        <v>52</v>
      </c>
      <c r="S284" s="580"/>
      <c r="T284" s="581"/>
      <c r="U284" s="580"/>
      <c r="V284" s="580"/>
      <c r="W284" s="580"/>
      <c r="X284" s="580"/>
      <c r="Y284" s="603">
        <v>0</v>
      </c>
      <c r="Z284" s="580">
        <f t="shared" si="73"/>
        <v>0</v>
      </c>
      <c r="AA284" s="581">
        <f t="shared" si="73"/>
        <v>0</v>
      </c>
      <c r="AB284" s="574"/>
      <c r="AC284" s="580"/>
      <c r="AD284" s="580"/>
      <c r="AE284" s="580">
        <f t="shared" si="73"/>
        <v>52</v>
      </c>
      <c r="AF284" s="822"/>
      <c r="AG284" s="828"/>
      <c r="AH284" s="822"/>
      <c r="AI284" s="822"/>
      <c r="AJ284" s="822"/>
      <c r="AK284" s="806"/>
      <c r="AL284" s="806"/>
      <c r="AM284" s="806"/>
      <c r="AN284" s="806"/>
      <c r="AO284" s="806"/>
      <c r="AP284" s="806"/>
      <c r="AQ284" s="806"/>
      <c r="AR284" s="806"/>
      <c r="AS284" s="806"/>
      <c r="AT284" s="806"/>
      <c r="AU284" s="806"/>
      <c r="AV284" s="806"/>
      <c r="AW284" s="806"/>
      <c r="AX284" s="806"/>
      <c r="AY284" s="604"/>
    </row>
    <row r="285" spans="1:51" ht="28.9" customHeight="1" x14ac:dyDescent="0.25">
      <c r="A285" s="828"/>
      <c r="B285" s="822"/>
      <c r="C285" s="823"/>
      <c r="D285" s="578" t="s">
        <v>354</v>
      </c>
      <c r="E285" s="582"/>
      <c r="F285" s="582"/>
      <c r="G285" s="582"/>
      <c r="H285" s="582"/>
      <c r="I285" s="580"/>
      <c r="J285" s="580"/>
      <c r="K285" s="580"/>
      <c r="L285" s="580"/>
      <c r="M285" s="580"/>
      <c r="N285" s="582"/>
      <c r="O285" s="573"/>
      <c r="P285" s="580"/>
      <c r="Q285" s="580"/>
      <c r="R285" s="580">
        <f>+R281+R283</f>
        <v>317163.12056737591</v>
      </c>
      <c r="S285" s="580"/>
      <c r="T285" s="581"/>
      <c r="U285" s="580"/>
      <c r="V285" s="580"/>
      <c r="W285" s="580"/>
      <c r="X285" s="580"/>
      <c r="Y285" s="603">
        <v>0</v>
      </c>
      <c r="Z285" s="580">
        <f t="shared" si="73"/>
        <v>0</v>
      </c>
      <c r="AA285" s="580">
        <f t="shared" si="73"/>
        <v>0</v>
      </c>
      <c r="AB285" s="574"/>
      <c r="AC285" s="580"/>
      <c r="AD285" s="580"/>
      <c r="AE285" s="580">
        <f t="shared" si="73"/>
        <v>317163.12056737591</v>
      </c>
      <c r="AF285" s="823"/>
      <c r="AG285" s="829"/>
      <c r="AH285" s="823"/>
      <c r="AI285" s="823"/>
      <c r="AJ285" s="823"/>
      <c r="AK285" s="807"/>
      <c r="AL285" s="807"/>
      <c r="AM285" s="807"/>
      <c r="AN285" s="807"/>
      <c r="AO285" s="807"/>
      <c r="AP285" s="807"/>
      <c r="AQ285" s="807"/>
      <c r="AR285" s="807"/>
      <c r="AS285" s="807"/>
      <c r="AT285" s="807"/>
      <c r="AU285" s="807"/>
      <c r="AV285" s="807"/>
      <c r="AW285" s="807"/>
      <c r="AX285" s="807"/>
      <c r="AY285" s="604"/>
    </row>
    <row r="286" spans="1:51" ht="19.149999999999999" customHeight="1" x14ac:dyDescent="0.25">
      <c r="A286" s="828"/>
      <c r="B286" s="822"/>
      <c r="C286" s="821" t="s">
        <v>693</v>
      </c>
      <c r="D286" s="572" t="s">
        <v>345</v>
      </c>
      <c r="E286" s="582"/>
      <c r="F286" s="582"/>
      <c r="G286" s="582"/>
      <c r="H286" s="582"/>
      <c r="I286" s="580"/>
      <c r="J286" s="580"/>
      <c r="K286" s="580"/>
      <c r="L286" s="580">
        <v>315</v>
      </c>
      <c r="M286" s="580">
        <v>315</v>
      </c>
      <c r="N286" s="586">
        <v>315</v>
      </c>
      <c r="O286" s="573">
        <v>315</v>
      </c>
      <c r="P286" s="580">
        <v>315</v>
      </c>
      <c r="Q286" s="580">
        <v>315</v>
      </c>
      <c r="R286" s="580">
        <v>315</v>
      </c>
      <c r="S286" s="580"/>
      <c r="T286" s="581"/>
      <c r="U286" s="580"/>
      <c r="V286" s="581"/>
      <c r="W286" s="580"/>
      <c r="X286" s="580"/>
      <c r="Y286" s="603">
        <v>315</v>
      </c>
      <c r="Z286" s="580">
        <f t="shared" si="73"/>
        <v>315</v>
      </c>
      <c r="AA286" s="581">
        <f t="shared" si="73"/>
        <v>315</v>
      </c>
      <c r="AB286" s="574">
        <f t="shared" si="73"/>
        <v>315</v>
      </c>
      <c r="AC286" s="580">
        <f t="shared" si="73"/>
        <v>315</v>
      </c>
      <c r="AD286" s="580">
        <f t="shared" si="73"/>
        <v>315</v>
      </c>
      <c r="AE286" s="580">
        <f t="shared" si="73"/>
        <v>315</v>
      </c>
      <c r="AF286" s="887" t="s">
        <v>694</v>
      </c>
      <c r="AG286" s="827" t="s">
        <v>695</v>
      </c>
      <c r="AH286" s="824" t="s">
        <v>696</v>
      </c>
      <c r="AI286" s="824" t="s">
        <v>697</v>
      </c>
      <c r="AJ286" s="821" t="s">
        <v>678</v>
      </c>
      <c r="AK286" s="826" t="s">
        <v>490</v>
      </c>
      <c r="AL286" s="826" t="s">
        <v>178</v>
      </c>
      <c r="AM286" s="826" t="s">
        <v>672</v>
      </c>
      <c r="AN286" s="820">
        <v>578855</v>
      </c>
      <c r="AO286" s="820">
        <v>266128</v>
      </c>
      <c r="AP286" s="820">
        <v>312727</v>
      </c>
      <c r="AQ286" s="844" t="s">
        <v>492</v>
      </c>
      <c r="AR286" s="844" t="s">
        <v>492</v>
      </c>
      <c r="AS286" s="844" t="s">
        <v>492</v>
      </c>
      <c r="AT286" s="844" t="s">
        <v>492</v>
      </c>
      <c r="AU286" s="805" t="s">
        <v>492</v>
      </c>
      <c r="AV286" s="805" t="s">
        <v>492</v>
      </c>
      <c r="AW286" s="805" t="s">
        <v>492</v>
      </c>
      <c r="AX286" s="808">
        <v>578855</v>
      </c>
      <c r="AY286" s="600"/>
    </row>
    <row r="287" spans="1:51" ht="19.149999999999999" customHeight="1" x14ac:dyDescent="0.25">
      <c r="A287" s="828"/>
      <c r="B287" s="822"/>
      <c r="C287" s="822"/>
      <c r="D287" s="578" t="s">
        <v>349</v>
      </c>
      <c r="E287" s="582"/>
      <c r="F287" s="582"/>
      <c r="G287" s="582"/>
      <c r="H287" s="582"/>
      <c r="I287" s="580"/>
      <c r="J287" s="580"/>
      <c r="K287" s="580"/>
      <c r="L287" s="580">
        <v>3402822.1859706361</v>
      </c>
      <c r="M287" s="580">
        <f>+M286*$Z$251/$Z$250</f>
        <v>2865288.4615384615</v>
      </c>
      <c r="N287" s="582">
        <f>+N286*$AA$251/$AA$250</f>
        <v>2419311.0647181626</v>
      </c>
      <c r="O287" s="582">
        <f>+O286*$AB$251/$AB$250</f>
        <v>2130238.9705882352</v>
      </c>
      <c r="P287" s="580">
        <f>+P286*$AC$251/$AC$250</f>
        <v>1893889.5950608316</v>
      </c>
      <c r="Q287" s="580">
        <f>+Q286*$AD$251/$AD$250</f>
        <v>1820183.2460732984</v>
      </c>
      <c r="R287" s="580">
        <f>+R286*$AE$251/$AE$250</f>
        <v>1921276.5957446808</v>
      </c>
      <c r="S287" s="580"/>
      <c r="T287" s="581"/>
      <c r="U287" s="580"/>
      <c r="V287" s="580"/>
      <c r="W287" s="580"/>
      <c r="X287" s="580"/>
      <c r="Y287" s="603">
        <v>3402822.1859706361</v>
      </c>
      <c r="Z287" s="580">
        <f t="shared" si="73"/>
        <v>2865288.4615384615</v>
      </c>
      <c r="AA287" s="580">
        <f t="shared" si="73"/>
        <v>2419311.0647181626</v>
      </c>
      <c r="AB287" s="574">
        <f t="shared" si="73"/>
        <v>2130238.9705882352</v>
      </c>
      <c r="AC287" s="580">
        <f t="shared" si="73"/>
        <v>1893889.5950608316</v>
      </c>
      <c r="AD287" s="580">
        <f t="shared" si="73"/>
        <v>1820183.2460732984</v>
      </c>
      <c r="AE287" s="580">
        <f t="shared" si="73"/>
        <v>1921276.5957446808</v>
      </c>
      <c r="AF287" s="822"/>
      <c r="AG287" s="828"/>
      <c r="AH287" s="822"/>
      <c r="AI287" s="822"/>
      <c r="AJ287" s="822"/>
      <c r="AK287" s="806"/>
      <c r="AL287" s="806"/>
      <c r="AM287" s="806"/>
      <c r="AN287" s="806"/>
      <c r="AO287" s="806"/>
      <c r="AP287" s="806"/>
      <c r="AQ287" s="806"/>
      <c r="AR287" s="806"/>
      <c r="AS287" s="806"/>
      <c r="AT287" s="806"/>
      <c r="AU287" s="806"/>
      <c r="AV287" s="806"/>
      <c r="AW287" s="806"/>
      <c r="AX287" s="806"/>
      <c r="AY287" s="600"/>
    </row>
    <row r="288" spans="1:51" ht="28.9" customHeight="1" x14ac:dyDescent="0.25">
      <c r="A288" s="828"/>
      <c r="B288" s="822"/>
      <c r="C288" s="822"/>
      <c r="D288" s="579" t="s">
        <v>351</v>
      </c>
      <c r="E288" s="582"/>
      <c r="F288" s="582"/>
      <c r="G288" s="582"/>
      <c r="H288" s="582"/>
      <c r="I288" s="580"/>
      <c r="J288" s="580"/>
      <c r="K288" s="580"/>
      <c r="L288" s="580"/>
      <c r="M288" s="580"/>
      <c r="N288" s="586"/>
      <c r="O288" s="573"/>
      <c r="P288" s="580"/>
      <c r="Q288" s="580"/>
      <c r="R288" s="580"/>
      <c r="S288" s="580"/>
      <c r="T288" s="581"/>
      <c r="U288" s="580"/>
      <c r="V288" s="581"/>
      <c r="W288" s="580"/>
      <c r="X288" s="580"/>
      <c r="Y288" s="603">
        <v>0</v>
      </c>
      <c r="Z288" s="580">
        <f t="shared" ref="Z288:AE303" si="76">+M288</f>
        <v>0</v>
      </c>
      <c r="AA288" s="581">
        <f t="shared" si="76"/>
        <v>0</v>
      </c>
      <c r="AB288" s="574">
        <f t="shared" si="76"/>
        <v>0</v>
      </c>
      <c r="AC288" s="580">
        <f t="shared" si="76"/>
        <v>0</v>
      </c>
      <c r="AD288" s="580">
        <f t="shared" si="76"/>
        <v>0</v>
      </c>
      <c r="AE288" s="580">
        <f t="shared" si="76"/>
        <v>0</v>
      </c>
      <c r="AF288" s="822"/>
      <c r="AG288" s="828"/>
      <c r="AH288" s="822"/>
      <c r="AI288" s="822"/>
      <c r="AJ288" s="822"/>
      <c r="AK288" s="806"/>
      <c r="AL288" s="806"/>
      <c r="AM288" s="806"/>
      <c r="AN288" s="806"/>
      <c r="AO288" s="806"/>
      <c r="AP288" s="806"/>
      <c r="AQ288" s="806"/>
      <c r="AR288" s="806"/>
      <c r="AS288" s="806"/>
      <c r="AT288" s="806"/>
      <c r="AU288" s="806"/>
      <c r="AV288" s="806"/>
      <c r="AW288" s="806"/>
      <c r="AX288" s="806"/>
      <c r="AY288" s="600"/>
    </row>
    <row r="289" spans="1:51" ht="28.9" customHeight="1" x14ac:dyDescent="0.25">
      <c r="A289" s="828"/>
      <c r="B289" s="822"/>
      <c r="C289" s="822"/>
      <c r="D289" s="578" t="s">
        <v>352</v>
      </c>
      <c r="E289" s="582"/>
      <c r="F289" s="582"/>
      <c r="G289" s="582"/>
      <c r="H289" s="582"/>
      <c r="I289" s="580"/>
      <c r="J289" s="574"/>
      <c r="K289" s="574"/>
      <c r="L289" s="574"/>
      <c r="M289" s="574"/>
      <c r="N289" s="573"/>
      <c r="O289" s="573"/>
      <c r="P289" s="574"/>
      <c r="Q289" s="580"/>
      <c r="R289" s="580"/>
      <c r="S289" s="580"/>
      <c r="T289" s="580"/>
      <c r="U289" s="580"/>
      <c r="V289" s="581"/>
      <c r="W289" s="580"/>
      <c r="X289" s="580"/>
      <c r="Y289" s="603">
        <v>0</v>
      </c>
      <c r="Z289" s="580">
        <f t="shared" si="76"/>
        <v>0</v>
      </c>
      <c r="AA289" s="574">
        <f t="shared" si="76"/>
        <v>0</v>
      </c>
      <c r="AB289" s="574">
        <f t="shared" si="76"/>
        <v>0</v>
      </c>
      <c r="AC289" s="580">
        <f t="shared" si="76"/>
        <v>0</v>
      </c>
      <c r="AD289" s="580">
        <f t="shared" si="76"/>
        <v>0</v>
      </c>
      <c r="AE289" s="580">
        <f t="shared" si="76"/>
        <v>0</v>
      </c>
      <c r="AF289" s="822"/>
      <c r="AG289" s="828"/>
      <c r="AH289" s="822"/>
      <c r="AI289" s="822"/>
      <c r="AJ289" s="822"/>
      <c r="AK289" s="806"/>
      <c r="AL289" s="806"/>
      <c r="AM289" s="806"/>
      <c r="AN289" s="806"/>
      <c r="AO289" s="806"/>
      <c r="AP289" s="806"/>
      <c r="AQ289" s="806"/>
      <c r="AR289" s="806"/>
      <c r="AS289" s="806"/>
      <c r="AT289" s="806"/>
      <c r="AU289" s="806"/>
      <c r="AV289" s="806"/>
      <c r="AW289" s="806"/>
      <c r="AX289" s="806"/>
      <c r="AY289" s="600"/>
    </row>
    <row r="290" spans="1:51" ht="28.9" customHeight="1" x14ac:dyDescent="0.25">
      <c r="A290" s="828"/>
      <c r="B290" s="822"/>
      <c r="C290" s="822"/>
      <c r="D290" s="579" t="s">
        <v>353</v>
      </c>
      <c r="E290" s="582"/>
      <c r="F290" s="582"/>
      <c r="G290" s="582"/>
      <c r="H290" s="582"/>
      <c r="I290" s="580"/>
      <c r="J290" s="580"/>
      <c r="K290" s="580"/>
      <c r="L290" s="580">
        <v>315</v>
      </c>
      <c r="M290" s="580">
        <v>315</v>
      </c>
      <c r="N290" s="582">
        <v>315</v>
      </c>
      <c r="O290" s="582">
        <v>315</v>
      </c>
      <c r="P290" s="580">
        <v>315</v>
      </c>
      <c r="Q290" s="580">
        <v>315</v>
      </c>
      <c r="R290" s="580">
        <v>315</v>
      </c>
      <c r="S290" s="580"/>
      <c r="T290" s="581"/>
      <c r="U290" s="580"/>
      <c r="V290" s="580"/>
      <c r="W290" s="580"/>
      <c r="X290" s="580"/>
      <c r="Y290" s="603">
        <v>315</v>
      </c>
      <c r="Z290" s="580">
        <f t="shared" si="76"/>
        <v>315</v>
      </c>
      <c r="AA290" s="580">
        <f t="shared" si="76"/>
        <v>315</v>
      </c>
      <c r="AB290" s="574">
        <f t="shared" si="76"/>
        <v>315</v>
      </c>
      <c r="AC290" s="580">
        <f t="shared" si="76"/>
        <v>315</v>
      </c>
      <c r="AD290" s="580">
        <f t="shared" si="76"/>
        <v>315</v>
      </c>
      <c r="AE290" s="580">
        <f t="shared" si="76"/>
        <v>315</v>
      </c>
      <c r="AF290" s="822"/>
      <c r="AG290" s="828"/>
      <c r="AH290" s="822"/>
      <c r="AI290" s="822"/>
      <c r="AJ290" s="822"/>
      <c r="AK290" s="806"/>
      <c r="AL290" s="806"/>
      <c r="AM290" s="806"/>
      <c r="AN290" s="806"/>
      <c r="AO290" s="806"/>
      <c r="AP290" s="806"/>
      <c r="AQ290" s="806"/>
      <c r="AR290" s="806"/>
      <c r="AS290" s="806"/>
      <c r="AT290" s="806"/>
      <c r="AU290" s="806"/>
      <c r="AV290" s="806"/>
      <c r="AW290" s="806"/>
      <c r="AX290" s="806"/>
      <c r="AY290" s="600"/>
    </row>
    <row r="291" spans="1:51" ht="28.9" customHeight="1" x14ac:dyDescent="0.25">
      <c r="A291" s="828"/>
      <c r="B291" s="822"/>
      <c r="C291" s="823"/>
      <c r="D291" s="578" t="s">
        <v>354</v>
      </c>
      <c r="E291" s="582"/>
      <c r="F291" s="582"/>
      <c r="G291" s="582"/>
      <c r="H291" s="582"/>
      <c r="I291" s="580"/>
      <c r="J291" s="580"/>
      <c r="K291" s="580"/>
      <c r="L291" s="580">
        <v>3402822.1859706361</v>
      </c>
      <c r="M291" s="580">
        <f t="shared" ref="M291:R291" si="77">+M287+M289</f>
        <v>2865288.4615384615</v>
      </c>
      <c r="N291" s="582">
        <f t="shared" si="77"/>
        <v>2419311.0647181626</v>
      </c>
      <c r="O291" s="582">
        <f t="shared" si="77"/>
        <v>2130238.9705882352</v>
      </c>
      <c r="P291" s="580">
        <f t="shared" si="77"/>
        <v>1893889.5950608316</v>
      </c>
      <c r="Q291" s="580">
        <f t="shared" si="77"/>
        <v>1820183.2460732984</v>
      </c>
      <c r="R291" s="580">
        <f t="shared" si="77"/>
        <v>1921276.5957446808</v>
      </c>
      <c r="S291" s="580"/>
      <c r="T291" s="581"/>
      <c r="U291" s="580"/>
      <c r="V291" s="580"/>
      <c r="W291" s="580"/>
      <c r="X291" s="580"/>
      <c r="Y291" s="603">
        <v>3402822.1859706361</v>
      </c>
      <c r="Z291" s="580">
        <f t="shared" si="76"/>
        <v>2865288.4615384615</v>
      </c>
      <c r="AA291" s="580">
        <f t="shared" si="76"/>
        <v>2419311.0647181626</v>
      </c>
      <c r="AB291" s="574">
        <f t="shared" si="76"/>
        <v>2130238.9705882352</v>
      </c>
      <c r="AC291" s="580">
        <f t="shared" si="76"/>
        <v>1893889.5950608316</v>
      </c>
      <c r="AD291" s="580">
        <f t="shared" si="76"/>
        <v>1820183.2460732984</v>
      </c>
      <c r="AE291" s="580">
        <f t="shared" si="76"/>
        <v>1921276.5957446808</v>
      </c>
      <c r="AF291" s="823"/>
      <c r="AG291" s="829"/>
      <c r="AH291" s="823"/>
      <c r="AI291" s="823"/>
      <c r="AJ291" s="823"/>
      <c r="AK291" s="807"/>
      <c r="AL291" s="807"/>
      <c r="AM291" s="807"/>
      <c r="AN291" s="807"/>
      <c r="AO291" s="807"/>
      <c r="AP291" s="807"/>
      <c r="AQ291" s="807"/>
      <c r="AR291" s="807"/>
      <c r="AS291" s="807"/>
      <c r="AT291" s="807"/>
      <c r="AU291" s="807"/>
      <c r="AV291" s="807"/>
      <c r="AW291" s="807"/>
      <c r="AX291" s="807"/>
      <c r="AY291" s="600"/>
    </row>
    <row r="292" spans="1:51" ht="19.149999999999999" customHeight="1" x14ac:dyDescent="0.25">
      <c r="A292" s="828"/>
      <c r="B292" s="822"/>
      <c r="C292" s="821" t="s">
        <v>698</v>
      </c>
      <c r="D292" s="572" t="s">
        <v>345</v>
      </c>
      <c r="E292" s="582"/>
      <c r="F292" s="582"/>
      <c r="G292" s="582"/>
      <c r="H292" s="582"/>
      <c r="I292" s="580"/>
      <c r="J292" s="580"/>
      <c r="K292" s="580"/>
      <c r="L292" s="580">
        <v>150</v>
      </c>
      <c r="M292" s="580">
        <v>150</v>
      </c>
      <c r="N292" s="586">
        <v>150</v>
      </c>
      <c r="O292" s="573">
        <v>150</v>
      </c>
      <c r="P292" s="580">
        <v>150</v>
      </c>
      <c r="Q292" s="580">
        <v>150</v>
      </c>
      <c r="R292" s="580">
        <v>150</v>
      </c>
      <c r="S292" s="580"/>
      <c r="T292" s="581"/>
      <c r="U292" s="580"/>
      <c r="V292" s="581"/>
      <c r="W292" s="580"/>
      <c r="X292" s="580"/>
      <c r="Y292" s="603">
        <v>150</v>
      </c>
      <c r="Z292" s="580">
        <f t="shared" si="76"/>
        <v>150</v>
      </c>
      <c r="AA292" s="581">
        <f t="shared" si="76"/>
        <v>150</v>
      </c>
      <c r="AB292" s="574">
        <f t="shared" si="76"/>
        <v>150</v>
      </c>
      <c r="AC292" s="580">
        <f t="shared" si="76"/>
        <v>150</v>
      </c>
      <c r="AD292" s="580">
        <f t="shared" si="76"/>
        <v>150</v>
      </c>
      <c r="AE292" s="580">
        <f t="shared" si="76"/>
        <v>150</v>
      </c>
      <c r="AF292" s="887" t="s">
        <v>699</v>
      </c>
      <c r="AG292" s="827" t="s">
        <v>695</v>
      </c>
      <c r="AH292" s="824" t="s">
        <v>696</v>
      </c>
      <c r="AI292" s="824" t="s">
        <v>700</v>
      </c>
      <c r="AJ292" s="821" t="s">
        <v>678</v>
      </c>
      <c r="AK292" s="826" t="s">
        <v>490</v>
      </c>
      <c r="AL292" s="826" t="s">
        <v>178</v>
      </c>
      <c r="AM292" s="826" t="s">
        <v>672</v>
      </c>
      <c r="AN292" s="820">
        <v>578855</v>
      </c>
      <c r="AO292" s="820">
        <v>266128</v>
      </c>
      <c r="AP292" s="820">
        <v>312727</v>
      </c>
      <c r="AQ292" s="844" t="s">
        <v>492</v>
      </c>
      <c r="AR292" s="844" t="s">
        <v>492</v>
      </c>
      <c r="AS292" s="844" t="s">
        <v>492</v>
      </c>
      <c r="AT292" s="844" t="s">
        <v>492</v>
      </c>
      <c r="AU292" s="805" t="s">
        <v>492</v>
      </c>
      <c r="AV292" s="805" t="s">
        <v>492</v>
      </c>
      <c r="AW292" s="805" t="s">
        <v>492</v>
      </c>
      <c r="AX292" s="808">
        <v>578855</v>
      </c>
      <c r="AY292" s="600"/>
    </row>
    <row r="293" spans="1:51" ht="19.149999999999999" customHeight="1" x14ac:dyDescent="0.25">
      <c r="A293" s="828"/>
      <c r="B293" s="822"/>
      <c r="C293" s="822"/>
      <c r="D293" s="578" t="s">
        <v>349</v>
      </c>
      <c r="E293" s="582"/>
      <c r="F293" s="582"/>
      <c r="G293" s="582"/>
      <c r="H293" s="582"/>
      <c r="I293" s="580"/>
      <c r="J293" s="580"/>
      <c r="K293" s="580"/>
      <c r="L293" s="580">
        <v>1620391.5171288743</v>
      </c>
      <c r="M293" s="580">
        <f>+M292*$Z$251/$Z$250</f>
        <v>1364423.076923077</v>
      </c>
      <c r="N293" s="582">
        <f>+N292*$AA$251/$AA$250</f>
        <v>1152052.88796103</v>
      </c>
      <c r="O293" s="582">
        <f>+O292*$AB$251/$AB$250</f>
        <v>1014399.5098039216</v>
      </c>
      <c r="P293" s="580">
        <f>+P292*$AC$251/$AC$250</f>
        <v>901852.18812420557</v>
      </c>
      <c r="Q293" s="580">
        <f>+Q292*$AD$251/$AD$250</f>
        <v>866753.92670157063</v>
      </c>
      <c r="R293" s="580">
        <f>+R292*$AE$251/$AE$250</f>
        <v>914893.61702127662</v>
      </c>
      <c r="S293" s="580"/>
      <c r="T293" s="581"/>
      <c r="U293" s="580"/>
      <c r="V293" s="580"/>
      <c r="W293" s="580"/>
      <c r="X293" s="580"/>
      <c r="Y293" s="603">
        <v>1620391.5171288743</v>
      </c>
      <c r="Z293" s="580">
        <f t="shared" si="76"/>
        <v>1364423.076923077</v>
      </c>
      <c r="AA293" s="580">
        <f t="shared" si="76"/>
        <v>1152052.88796103</v>
      </c>
      <c r="AB293" s="574">
        <f t="shared" si="76"/>
        <v>1014399.5098039216</v>
      </c>
      <c r="AC293" s="580">
        <f t="shared" si="76"/>
        <v>901852.18812420557</v>
      </c>
      <c r="AD293" s="580">
        <f t="shared" si="76"/>
        <v>866753.92670157063</v>
      </c>
      <c r="AE293" s="580">
        <f t="shared" si="76"/>
        <v>914893.61702127662</v>
      </c>
      <c r="AF293" s="822"/>
      <c r="AG293" s="828"/>
      <c r="AH293" s="822"/>
      <c r="AI293" s="822"/>
      <c r="AJ293" s="822"/>
      <c r="AK293" s="806"/>
      <c r="AL293" s="806"/>
      <c r="AM293" s="806"/>
      <c r="AN293" s="806"/>
      <c r="AO293" s="806"/>
      <c r="AP293" s="806"/>
      <c r="AQ293" s="806"/>
      <c r="AR293" s="806"/>
      <c r="AS293" s="806"/>
      <c r="AT293" s="806"/>
      <c r="AU293" s="806"/>
      <c r="AV293" s="806"/>
      <c r="AW293" s="806"/>
      <c r="AX293" s="806"/>
      <c r="AY293" s="600"/>
    </row>
    <row r="294" spans="1:51" ht="28.9" customHeight="1" x14ac:dyDescent="0.25">
      <c r="A294" s="828"/>
      <c r="B294" s="822"/>
      <c r="C294" s="822"/>
      <c r="D294" s="579" t="s">
        <v>351</v>
      </c>
      <c r="E294" s="582"/>
      <c r="F294" s="582"/>
      <c r="G294" s="582"/>
      <c r="H294" s="582"/>
      <c r="I294" s="580"/>
      <c r="J294" s="580"/>
      <c r="K294" s="580"/>
      <c r="L294" s="580"/>
      <c r="M294" s="580"/>
      <c r="N294" s="586"/>
      <c r="O294" s="573"/>
      <c r="P294" s="580"/>
      <c r="Q294" s="580"/>
      <c r="R294" s="580"/>
      <c r="S294" s="580"/>
      <c r="T294" s="581"/>
      <c r="U294" s="580"/>
      <c r="V294" s="581"/>
      <c r="W294" s="580"/>
      <c r="X294" s="580"/>
      <c r="Y294" s="603">
        <v>0</v>
      </c>
      <c r="Z294" s="580">
        <f t="shared" si="76"/>
        <v>0</v>
      </c>
      <c r="AA294" s="581">
        <f t="shared" si="76"/>
        <v>0</v>
      </c>
      <c r="AB294" s="574">
        <f t="shared" si="76"/>
        <v>0</v>
      </c>
      <c r="AC294" s="580">
        <f t="shared" si="76"/>
        <v>0</v>
      </c>
      <c r="AD294" s="580">
        <f t="shared" si="76"/>
        <v>0</v>
      </c>
      <c r="AE294" s="580">
        <f t="shared" si="76"/>
        <v>0</v>
      </c>
      <c r="AF294" s="822"/>
      <c r="AG294" s="828"/>
      <c r="AH294" s="822"/>
      <c r="AI294" s="822"/>
      <c r="AJ294" s="822"/>
      <c r="AK294" s="806"/>
      <c r="AL294" s="806"/>
      <c r="AM294" s="806"/>
      <c r="AN294" s="806"/>
      <c r="AO294" s="806"/>
      <c r="AP294" s="806"/>
      <c r="AQ294" s="806"/>
      <c r="AR294" s="806"/>
      <c r="AS294" s="806"/>
      <c r="AT294" s="806"/>
      <c r="AU294" s="806"/>
      <c r="AV294" s="806"/>
      <c r="AW294" s="806"/>
      <c r="AX294" s="806"/>
      <c r="AY294" s="600"/>
    </row>
    <row r="295" spans="1:51" ht="28.9" customHeight="1" x14ac:dyDescent="0.25">
      <c r="A295" s="828"/>
      <c r="B295" s="822"/>
      <c r="C295" s="822"/>
      <c r="D295" s="578" t="s">
        <v>352</v>
      </c>
      <c r="E295" s="582"/>
      <c r="F295" s="582"/>
      <c r="G295" s="582"/>
      <c r="H295" s="582"/>
      <c r="I295" s="580"/>
      <c r="J295" s="574"/>
      <c r="K295" s="574"/>
      <c r="L295" s="574"/>
      <c r="M295" s="574"/>
      <c r="N295" s="573"/>
      <c r="O295" s="573"/>
      <c r="P295" s="574"/>
      <c r="Q295" s="580"/>
      <c r="R295" s="580"/>
      <c r="S295" s="580"/>
      <c r="T295" s="580"/>
      <c r="U295" s="580"/>
      <c r="V295" s="581"/>
      <c r="W295" s="580"/>
      <c r="X295" s="580"/>
      <c r="Y295" s="603">
        <v>0</v>
      </c>
      <c r="Z295" s="580">
        <f t="shared" si="76"/>
        <v>0</v>
      </c>
      <c r="AA295" s="574">
        <f t="shared" si="76"/>
        <v>0</v>
      </c>
      <c r="AB295" s="574">
        <f t="shared" si="76"/>
        <v>0</v>
      </c>
      <c r="AC295" s="580">
        <f t="shared" si="76"/>
        <v>0</v>
      </c>
      <c r="AD295" s="580">
        <f t="shared" si="76"/>
        <v>0</v>
      </c>
      <c r="AE295" s="580">
        <f t="shared" si="76"/>
        <v>0</v>
      </c>
      <c r="AF295" s="822"/>
      <c r="AG295" s="828"/>
      <c r="AH295" s="822"/>
      <c r="AI295" s="822"/>
      <c r="AJ295" s="822"/>
      <c r="AK295" s="806"/>
      <c r="AL295" s="806"/>
      <c r="AM295" s="806"/>
      <c r="AN295" s="806"/>
      <c r="AO295" s="806"/>
      <c r="AP295" s="806"/>
      <c r="AQ295" s="806"/>
      <c r="AR295" s="806"/>
      <c r="AS295" s="806"/>
      <c r="AT295" s="806"/>
      <c r="AU295" s="806"/>
      <c r="AV295" s="806"/>
      <c r="AW295" s="806"/>
      <c r="AX295" s="806"/>
      <c r="AY295" s="600"/>
    </row>
    <row r="296" spans="1:51" ht="28.9" customHeight="1" x14ac:dyDescent="0.25">
      <c r="A296" s="828"/>
      <c r="B296" s="822"/>
      <c r="C296" s="822"/>
      <c r="D296" s="579" t="s">
        <v>353</v>
      </c>
      <c r="E296" s="582"/>
      <c r="F296" s="582"/>
      <c r="G296" s="582"/>
      <c r="H296" s="582"/>
      <c r="I296" s="580"/>
      <c r="J296" s="580"/>
      <c r="K296" s="580"/>
      <c r="L296" s="580">
        <v>150</v>
      </c>
      <c r="M296" s="580">
        <v>150</v>
      </c>
      <c r="N296" s="582">
        <v>150</v>
      </c>
      <c r="O296" s="582">
        <v>150</v>
      </c>
      <c r="P296" s="580">
        <v>150</v>
      </c>
      <c r="Q296" s="580">
        <v>150</v>
      </c>
      <c r="R296" s="580">
        <v>150</v>
      </c>
      <c r="S296" s="580"/>
      <c r="T296" s="581"/>
      <c r="U296" s="580"/>
      <c r="V296" s="580"/>
      <c r="W296" s="580"/>
      <c r="X296" s="580"/>
      <c r="Y296" s="603">
        <v>150</v>
      </c>
      <c r="Z296" s="580">
        <f t="shared" si="76"/>
        <v>150</v>
      </c>
      <c r="AA296" s="580">
        <f t="shared" si="76"/>
        <v>150</v>
      </c>
      <c r="AB296" s="574">
        <f t="shared" si="76"/>
        <v>150</v>
      </c>
      <c r="AC296" s="580">
        <f t="shared" si="76"/>
        <v>150</v>
      </c>
      <c r="AD296" s="580">
        <f t="shared" si="76"/>
        <v>150</v>
      </c>
      <c r="AE296" s="580">
        <f t="shared" si="76"/>
        <v>150</v>
      </c>
      <c r="AF296" s="822"/>
      <c r="AG296" s="828"/>
      <c r="AH296" s="822"/>
      <c r="AI296" s="822"/>
      <c r="AJ296" s="822"/>
      <c r="AK296" s="806"/>
      <c r="AL296" s="806"/>
      <c r="AM296" s="806"/>
      <c r="AN296" s="806"/>
      <c r="AO296" s="806"/>
      <c r="AP296" s="806"/>
      <c r="AQ296" s="806"/>
      <c r="AR296" s="806"/>
      <c r="AS296" s="806"/>
      <c r="AT296" s="806"/>
      <c r="AU296" s="806"/>
      <c r="AV296" s="806"/>
      <c r="AW296" s="806"/>
      <c r="AX296" s="806"/>
      <c r="AY296" s="600"/>
    </row>
    <row r="297" spans="1:51" ht="28.9" customHeight="1" x14ac:dyDescent="0.25">
      <c r="A297" s="828"/>
      <c r="B297" s="822"/>
      <c r="C297" s="823"/>
      <c r="D297" s="578" t="s">
        <v>354</v>
      </c>
      <c r="E297" s="582"/>
      <c r="F297" s="582"/>
      <c r="G297" s="582"/>
      <c r="H297" s="582"/>
      <c r="I297" s="580"/>
      <c r="J297" s="580"/>
      <c r="K297" s="580"/>
      <c r="L297" s="580">
        <v>1620391.5171288743</v>
      </c>
      <c r="M297" s="580">
        <f t="shared" ref="M297:R297" si="78">+M293+M295</f>
        <v>1364423.076923077</v>
      </c>
      <c r="N297" s="582">
        <f t="shared" si="78"/>
        <v>1152052.88796103</v>
      </c>
      <c r="O297" s="582">
        <f t="shared" si="78"/>
        <v>1014399.5098039216</v>
      </c>
      <c r="P297" s="580">
        <f t="shared" si="78"/>
        <v>901852.18812420557</v>
      </c>
      <c r="Q297" s="580">
        <f t="shared" si="78"/>
        <v>866753.92670157063</v>
      </c>
      <c r="R297" s="580">
        <f t="shared" si="78"/>
        <v>914893.61702127662</v>
      </c>
      <c r="S297" s="580"/>
      <c r="T297" s="581"/>
      <c r="U297" s="580"/>
      <c r="V297" s="580"/>
      <c r="W297" s="580"/>
      <c r="X297" s="580"/>
      <c r="Y297" s="603">
        <v>1620391.5171288743</v>
      </c>
      <c r="Z297" s="580">
        <f t="shared" si="76"/>
        <v>1364423.076923077</v>
      </c>
      <c r="AA297" s="580">
        <f t="shared" si="76"/>
        <v>1152052.88796103</v>
      </c>
      <c r="AB297" s="574">
        <f t="shared" si="76"/>
        <v>1014399.5098039216</v>
      </c>
      <c r="AC297" s="580">
        <f t="shared" si="76"/>
        <v>901852.18812420557</v>
      </c>
      <c r="AD297" s="580">
        <f t="shared" si="76"/>
        <v>866753.92670157063</v>
      </c>
      <c r="AE297" s="580">
        <f t="shared" si="76"/>
        <v>914893.61702127662</v>
      </c>
      <c r="AF297" s="823"/>
      <c r="AG297" s="829"/>
      <c r="AH297" s="823"/>
      <c r="AI297" s="823"/>
      <c r="AJ297" s="823"/>
      <c r="AK297" s="807"/>
      <c r="AL297" s="807"/>
      <c r="AM297" s="807"/>
      <c r="AN297" s="807"/>
      <c r="AO297" s="807"/>
      <c r="AP297" s="807"/>
      <c r="AQ297" s="807"/>
      <c r="AR297" s="807"/>
      <c r="AS297" s="807"/>
      <c r="AT297" s="807"/>
      <c r="AU297" s="807"/>
      <c r="AV297" s="807"/>
      <c r="AW297" s="807"/>
      <c r="AX297" s="807"/>
      <c r="AY297" s="600"/>
    </row>
    <row r="298" spans="1:51" ht="19.149999999999999" customHeight="1" x14ac:dyDescent="0.25">
      <c r="A298" s="828"/>
      <c r="B298" s="822"/>
      <c r="C298" s="821" t="s">
        <v>701</v>
      </c>
      <c r="D298" s="572" t="s">
        <v>345</v>
      </c>
      <c r="E298" s="582"/>
      <c r="F298" s="582"/>
      <c r="G298" s="582"/>
      <c r="H298" s="582"/>
      <c r="I298" s="580"/>
      <c r="J298" s="580"/>
      <c r="K298" s="580"/>
      <c r="L298" s="580"/>
      <c r="M298" s="580"/>
      <c r="N298" s="582">
        <v>671</v>
      </c>
      <c r="O298" s="573">
        <v>671</v>
      </c>
      <c r="P298" s="580">
        <v>671</v>
      </c>
      <c r="Q298" s="580">
        <v>671</v>
      </c>
      <c r="R298" s="580">
        <v>671</v>
      </c>
      <c r="S298" s="580"/>
      <c r="T298" s="581"/>
      <c r="U298" s="580"/>
      <c r="V298" s="581"/>
      <c r="W298" s="580"/>
      <c r="X298" s="580"/>
      <c r="Y298" s="603">
        <v>0</v>
      </c>
      <c r="Z298" s="580">
        <f t="shared" si="76"/>
        <v>0</v>
      </c>
      <c r="AA298" s="580">
        <f t="shared" si="76"/>
        <v>671</v>
      </c>
      <c r="AB298" s="574">
        <f t="shared" si="76"/>
        <v>671</v>
      </c>
      <c r="AC298" s="580">
        <f t="shared" si="76"/>
        <v>671</v>
      </c>
      <c r="AD298" s="580">
        <f t="shared" si="76"/>
        <v>671</v>
      </c>
      <c r="AE298" s="580">
        <f t="shared" si="76"/>
        <v>671</v>
      </c>
      <c r="AF298" s="887" t="s">
        <v>702</v>
      </c>
      <c r="AG298" s="827" t="s">
        <v>703</v>
      </c>
      <c r="AH298" s="824" t="s">
        <v>704</v>
      </c>
      <c r="AI298" s="824" t="s">
        <v>705</v>
      </c>
      <c r="AJ298" s="821" t="s">
        <v>678</v>
      </c>
      <c r="AK298" s="826" t="s">
        <v>490</v>
      </c>
      <c r="AL298" s="826" t="s">
        <v>178</v>
      </c>
      <c r="AM298" s="826" t="s">
        <v>672</v>
      </c>
      <c r="AN298" s="820">
        <v>107677</v>
      </c>
      <c r="AO298" s="820">
        <v>53035</v>
      </c>
      <c r="AP298" s="820">
        <v>54642</v>
      </c>
      <c r="AQ298" s="844" t="s">
        <v>492</v>
      </c>
      <c r="AR298" s="844" t="s">
        <v>492</v>
      </c>
      <c r="AS298" s="844" t="s">
        <v>492</v>
      </c>
      <c r="AT298" s="844" t="s">
        <v>492</v>
      </c>
      <c r="AU298" s="805" t="s">
        <v>492</v>
      </c>
      <c r="AV298" s="805" t="s">
        <v>492</v>
      </c>
      <c r="AW298" s="805" t="s">
        <v>492</v>
      </c>
      <c r="AX298" s="808">
        <v>107788</v>
      </c>
      <c r="AY298" s="600"/>
    </row>
    <row r="299" spans="1:51" ht="19.149999999999999" customHeight="1" x14ac:dyDescent="0.25">
      <c r="A299" s="828"/>
      <c r="B299" s="822"/>
      <c r="C299" s="822"/>
      <c r="D299" s="578" t="s">
        <v>349</v>
      </c>
      <c r="E299" s="582"/>
      <c r="F299" s="582"/>
      <c r="G299" s="582"/>
      <c r="H299" s="582"/>
      <c r="I299" s="580"/>
      <c r="J299" s="580"/>
      <c r="K299" s="580"/>
      <c r="L299" s="580"/>
      <c r="M299" s="580"/>
      <c r="N299" s="582">
        <f>+N298*$AA$251/$AA$250</f>
        <v>5153516.5854790071</v>
      </c>
      <c r="O299" s="582">
        <f>+O298*$AB$251/$AB$250</f>
        <v>4537747.1405228758</v>
      </c>
      <c r="P299" s="580">
        <f>+P298*$AC$251/$AC$250</f>
        <v>4034285.4548756126</v>
      </c>
      <c r="Q299" s="580">
        <f>+Q298*$AD$251/$AD$250</f>
        <v>3877279.2321116929</v>
      </c>
      <c r="R299" s="580">
        <f>+R298*$AE$251/$AE$250</f>
        <v>4092624.1134751774</v>
      </c>
      <c r="S299" s="580"/>
      <c r="T299" s="581"/>
      <c r="U299" s="580"/>
      <c r="V299" s="580"/>
      <c r="W299" s="580"/>
      <c r="X299" s="580"/>
      <c r="Y299" s="603">
        <v>0</v>
      </c>
      <c r="Z299" s="580">
        <f t="shared" si="76"/>
        <v>0</v>
      </c>
      <c r="AA299" s="580">
        <f t="shared" si="76"/>
        <v>5153516.5854790071</v>
      </c>
      <c r="AB299" s="574">
        <f t="shared" si="76"/>
        <v>4537747.1405228758</v>
      </c>
      <c r="AC299" s="580">
        <f t="shared" si="76"/>
        <v>4034285.4548756126</v>
      </c>
      <c r="AD299" s="580">
        <f t="shared" si="76"/>
        <v>3877279.2321116929</v>
      </c>
      <c r="AE299" s="580">
        <f t="shared" si="76"/>
        <v>4092624.1134751774</v>
      </c>
      <c r="AF299" s="822"/>
      <c r="AG299" s="828"/>
      <c r="AH299" s="822"/>
      <c r="AI299" s="822"/>
      <c r="AJ299" s="822"/>
      <c r="AK299" s="806"/>
      <c r="AL299" s="806"/>
      <c r="AM299" s="806"/>
      <c r="AN299" s="806"/>
      <c r="AO299" s="806"/>
      <c r="AP299" s="806"/>
      <c r="AQ299" s="806"/>
      <c r="AR299" s="806"/>
      <c r="AS299" s="806"/>
      <c r="AT299" s="806"/>
      <c r="AU299" s="806"/>
      <c r="AV299" s="806"/>
      <c r="AW299" s="806"/>
      <c r="AX299" s="806"/>
      <c r="AY299" s="600"/>
    </row>
    <row r="300" spans="1:51" ht="28.9" customHeight="1" x14ac:dyDescent="0.25">
      <c r="A300" s="828"/>
      <c r="B300" s="822"/>
      <c r="C300" s="822"/>
      <c r="D300" s="579" t="s">
        <v>351</v>
      </c>
      <c r="E300" s="582"/>
      <c r="F300" s="582"/>
      <c r="G300" s="582"/>
      <c r="H300" s="582"/>
      <c r="I300" s="580"/>
      <c r="J300" s="580"/>
      <c r="K300" s="580"/>
      <c r="L300" s="580"/>
      <c r="M300" s="580"/>
      <c r="N300" s="582"/>
      <c r="O300" s="573"/>
      <c r="P300" s="580"/>
      <c r="Q300" s="580"/>
      <c r="R300" s="580"/>
      <c r="S300" s="580"/>
      <c r="T300" s="581"/>
      <c r="U300" s="580"/>
      <c r="V300" s="581"/>
      <c r="W300" s="580"/>
      <c r="X300" s="580"/>
      <c r="Y300" s="603">
        <v>0</v>
      </c>
      <c r="Z300" s="580">
        <f t="shared" si="76"/>
        <v>0</v>
      </c>
      <c r="AA300" s="580">
        <f t="shared" si="76"/>
        <v>0</v>
      </c>
      <c r="AB300" s="574">
        <f t="shared" si="76"/>
        <v>0</v>
      </c>
      <c r="AC300" s="580">
        <f t="shared" si="76"/>
        <v>0</v>
      </c>
      <c r="AD300" s="580">
        <f t="shared" si="76"/>
        <v>0</v>
      </c>
      <c r="AE300" s="580">
        <f t="shared" si="76"/>
        <v>0</v>
      </c>
      <c r="AF300" s="822"/>
      <c r="AG300" s="828"/>
      <c r="AH300" s="822"/>
      <c r="AI300" s="822"/>
      <c r="AJ300" s="822"/>
      <c r="AK300" s="806"/>
      <c r="AL300" s="806"/>
      <c r="AM300" s="806"/>
      <c r="AN300" s="806"/>
      <c r="AO300" s="806"/>
      <c r="AP300" s="806"/>
      <c r="AQ300" s="806"/>
      <c r="AR300" s="806"/>
      <c r="AS300" s="806"/>
      <c r="AT300" s="806"/>
      <c r="AU300" s="806"/>
      <c r="AV300" s="806"/>
      <c r="AW300" s="806"/>
      <c r="AX300" s="806"/>
      <c r="AY300" s="600"/>
    </row>
    <row r="301" spans="1:51" ht="28.9" customHeight="1" x14ac:dyDescent="0.25">
      <c r="A301" s="828"/>
      <c r="B301" s="822"/>
      <c r="C301" s="822"/>
      <c r="D301" s="578" t="s">
        <v>352</v>
      </c>
      <c r="E301" s="582"/>
      <c r="F301" s="582"/>
      <c r="G301" s="582"/>
      <c r="H301" s="582"/>
      <c r="I301" s="580"/>
      <c r="J301" s="580"/>
      <c r="K301" s="580"/>
      <c r="L301" s="580"/>
      <c r="M301" s="580"/>
      <c r="N301" s="582"/>
      <c r="O301" s="573"/>
      <c r="P301" s="580"/>
      <c r="Q301" s="580"/>
      <c r="R301" s="580"/>
      <c r="S301" s="580"/>
      <c r="T301" s="581"/>
      <c r="U301" s="580"/>
      <c r="V301" s="581"/>
      <c r="W301" s="580"/>
      <c r="X301" s="580"/>
      <c r="Y301" s="603">
        <v>0</v>
      </c>
      <c r="Z301" s="580">
        <f t="shared" si="76"/>
        <v>0</v>
      </c>
      <c r="AA301" s="580">
        <f t="shared" si="76"/>
        <v>0</v>
      </c>
      <c r="AB301" s="574">
        <f t="shared" si="76"/>
        <v>0</v>
      </c>
      <c r="AC301" s="580">
        <f t="shared" si="76"/>
        <v>0</v>
      </c>
      <c r="AD301" s="580">
        <f t="shared" si="76"/>
        <v>0</v>
      </c>
      <c r="AE301" s="580">
        <f t="shared" si="76"/>
        <v>0</v>
      </c>
      <c r="AF301" s="822"/>
      <c r="AG301" s="828"/>
      <c r="AH301" s="822"/>
      <c r="AI301" s="822"/>
      <c r="AJ301" s="822"/>
      <c r="AK301" s="806"/>
      <c r="AL301" s="806"/>
      <c r="AM301" s="806"/>
      <c r="AN301" s="806"/>
      <c r="AO301" s="806"/>
      <c r="AP301" s="806"/>
      <c r="AQ301" s="806"/>
      <c r="AR301" s="806"/>
      <c r="AS301" s="806"/>
      <c r="AT301" s="806"/>
      <c r="AU301" s="806"/>
      <c r="AV301" s="806"/>
      <c r="AW301" s="806"/>
      <c r="AX301" s="806"/>
      <c r="AY301" s="600"/>
    </row>
    <row r="302" spans="1:51" ht="28.9" customHeight="1" x14ac:dyDescent="0.25">
      <c r="A302" s="828"/>
      <c r="B302" s="822"/>
      <c r="C302" s="822"/>
      <c r="D302" s="579" t="s">
        <v>353</v>
      </c>
      <c r="E302" s="582"/>
      <c r="F302" s="582"/>
      <c r="G302" s="582"/>
      <c r="H302" s="582"/>
      <c r="I302" s="580"/>
      <c r="J302" s="580"/>
      <c r="K302" s="580"/>
      <c r="L302" s="580"/>
      <c r="M302" s="580"/>
      <c r="N302" s="582">
        <v>671</v>
      </c>
      <c r="O302" s="582">
        <v>671</v>
      </c>
      <c r="P302" s="580">
        <v>671</v>
      </c>
      <c r="Q302" s="580">
        <v>671</v>
      </c>
      <c r="R302" s="580">
        <v>671</v>
      </c>
      <c r="S302" s="580"/>
      <c r="T302" s="581"/>
      <c r="U302" s="580"/>
      <c r="V302" s="580"/>
      <c r="W302" s="580"/>
      <c r="X302" s="580"/>
      <c r="Y302" s="603">
        <v>0</v>
      </c>
      <c r="Z302" s="580">
        <f t="shared" si="76"/>
        <v>0</v>
      </c>
      <c r="AA302" s="580">
        <f t="shared" si="76"/>
        <v>671</v>
      </c>
      <c r="AB302" s="574">
        <f t="shared" si="76"/>
        <v>671</v>
      </c>
      <c r="AC302" s="580">
        <f t="shared" si="76"/>
        <v>671</v>
      </c>
      <c r="AD302" s="580">
        <f t="shared" si="76"/>
        <v>671</v>
      </c>
      <c r="AE302" s="580">
        <f t="shared" si="76"/>
        <v>671</v>
      </c>
      <c r="AF302" s="822"/>
      <c r="AG302" s="828"/>
      <c r="AH302" s="822"/>
      <c r="AI302" s="822"/>
      <c r="AJ302" s="822"/>
      <c r="AK302" s="806"/>
      <c r="AL302" s="806"/>
      <c r="AM302" s="806"/>
      <c r="AN302" s="806"/>
      <c r="AO302" s="806"/>
      <c r="AP302" s="806"/>
      <c r="AQ302" s="806"/>
      <c r="AR302" s="806"/>
      <c r="AS302" s="806"/>
      <c r="AT302" s="806"/>
      <c r="AU302" s="806"/>
      <c r="AV302" s="806"/>
      <c r="AW302" s="806"/>
      <c r="AX302" s="806"/>
      <c r="AY302" s="600"/>
    </row>
    <row r="303" spans="1:51" ht="28.9" customHeight="1" x14ac:dyDescent="0.25">
      <c r="A303" s="828"/>
      <c r="B303" s="822"/>
      <c r="C303" s="823"/>
      <c r="D303" s="578" t="s">
        <v>354</v>
      </c>
      <c r="E303" s="582"/>
      <c r="F303" s="582"/>
      <c r="G303" s="582"/>
      <c r="H303" s="582"/>
      <c r="I303" s="580"/>
      <c r="J303" s="580"/>
      <c r="K303" s="580"/>
      <c r="L303" s="580"/>
      <c r="M303" s="580"/>
      <c r="N303" s="582">
        <f t="shared" ref="N303:R303" si="79">+N299+N301</f>
        <v>5153516.5854790071</v>
      </c>
      <c r="O303" s="582">
        <f t="shared" si="79"/>
        <v>4537747.1405228758</v>
      </c>
      <c r="P303" s="580">
        <f t="shared" si="79"/>
        <v>4034285.4548756126</v>
      </c>
      <c r="Q303" s="580">
        <f t="shared" si="79"/>
        <v>3877279.2321116929</v>
      </c>
      <c r="R303" s="580">
        <f t="shared" si="79"/>
        <v>4092624.1134751774</v>
      </c>
      <c r="S303" s="580"/>
      <c r="T303" s="581"/>
      <c r="U303" s="580"/>
      <c r="V303" s="580"/>
      <c r="W303" s="580"/>
      <c r="X303" s="580"/>
      <c r="Y303" s="603">
        <v>0</v>
      </c>
      <c r="Z303" s="580">
        <f t="shared" si="76"/>
        <v>0</v>
      </c>
      <c r="AA303" s="580">
        <f t="shared" si="76"/>
        <v>5153516.5854790071</v>
      </c>
      <c r="AB303" s="574">
        <f t="shared" si="76"/>
        <v>4537747.1405228758</v>
      </c>
      <c r="AC303" s="580">
        <f t="shared" si="76"/>
        <v>4034285.4548756126</v>
      </c>
      <c r="AD303" s="580">
        <f t="shared" si="76"/>
        <v>3877279.2321116929</v>
      </c>
      <c r="AE303" s="580">
        <f t="shared" si="76"/>
        <v>4092624.1134751774</v>
      </c>
      <c r="AF303" s="823"/>
      <c r="AG303" s="829"/>
      <c r="AH303" s="823"/>
      <c r="AI303" s="823"/>
      <c r="AJ303" s="823"/>
      <c r="AK303" s="807"/>
      <c r="AL303" s="807"/>
      <c r="AM303" s="807"/>
      <c r="AN303" s="807"/>
      <c r="AO303" s="807"/>
      <c r="AP303" s="807"/>
      <c r="AQ303" s="807"/>
      <c r="AR303" s="807"/>
      <c r="AS303" s="807"/>
      <c r="AT303" s="807"/>
      <c r="AU303" s="807"/>
      <c r="AV303" s="807"/>
      <c r="AW303" s="807"/>
      <c r="AX303" s="807"/>
      <c r="AY303" s="600"/>
    </row>
    <row r="304" spans="1:51" ht="19.149999999999999" customHeight="1" x14ac:dyDescent="0.25">
      <c r="A304" s="828"/>
      <c r="B304" s="822"/>
      <c r="C304" s="821" t="s">
        <v>706</v>
      </c>
      <c r="D304" s="572" t="s">
        <v>345</v>
      </c>
      <c r="E304" s="582"/>
      <c r="F304" s="582"/>
      <c r="G304" s="582"/>
      <c r="H304" s="582"/>
      <c r="I304" s="580"/>
      <c r="J304" s="580"/>
      <c r="K304" s="580"/>
      <c r="L304" s="580"/>
      <c r="M304" s="580">
        <v>17</v>
      </c>
      <c r="N304" s="586"/>
      <c r="O304" s="573"/>
      <c r="P304" s="580"/>
      <c r="Q304" s="580">
        <v>223</v>
      </c>
      <c r="R304" s="580">
        <v>223</v>
      </c>
      <c r="S304" s="580"/>
      <c r="T304" s="581"/>
      <c r="U304" s="580"/>
      <c r="V304" s="581"/>
      <c r="W304" s="580"/>
      <c r="X304" s="580"/>
      <c r="Y304" s="603"/>
      <c r="Z304" s="580"/>
      <c r="AA304" s="581"/>
      <c r="AB304" s="574">
        <f t="shared" ref="AB304:AE309" si="80">+O304</f>
        <v>0</v>
      </c>
      <c r="AC304" s="580">
        <f t="shared" si="80"/>
        <v>0</v>
      </c>
      <c r="AD304" s="580">
        <f t="shared" si="80"/>
        <v>223</v>
      </c>
      <c r="AE304" s="580">
        <f t="shared" si="80"/>
        <v>223</v>
      </c>
      <c r="AF304" s="887" t="s">
        <v>707</v>
      </c>
      <c r="AG304" s="827" t="s">
        <v>529</v>
      </c>
      <c r="AH304" s="824" t="s">
        <v>708</v>
      </c>
      <c r="AI304" s="824" t="s">
        <v>709</v>
      </c>
      <c r="AJ304" s="821" t="s">
        <v>678</v>
      </c>
      <c r="AK304" s="826" t="s">
        <v>490</v>
      </c>
      <c r="AL304" s="826" t="s">
        <v>178</v>
      </c>
      <c r="AM304" s="826" t="s">
        <v>672</v>
      </c>
      <c r="AN304" s="820">
        <v>407645</v>
      </c>
      <c r="AO304" s="820">
        <v>201919</v>
      </c>
      <c r="AP304" s="820">
        <v>205726</v>
      </c>
      <c r="AQ304" s="844" t="s">
        <v>492</v>
      </c>
      <c r="AR304" s="844" t="s">
        <v>492</v>
      </c>
      <c r="AS304" s="844" t="s">
        <v>492</v>
      </c>
      <c r="AT304" s="844" t="s">
        <v>492</v>
      </c>
      <c r="AU304" s="805" t="s">
        <v>492</v>
      </c>
      <c r="AV304" s="805" t="s">
        <v>492</v>
      </c>
      <c r="AW304" s="805" t="s">
        <v>492</v>
      </c>
      <c r="AX304" s="808">
        <v>22438</v>
      </c>
      <c r="AY304" s="600"/>
    </row>
    <row r="305" spans="1:51" ht="19.149999999999999" customHeight="1" x14ac:dyDescent="0.25">
      <c r="A305" s="828"/>
      <c r="B305" s="822"/>
      <c r="C305" s="822"/>
      <c r="D305" s="578" t="s">
        <v>349</v>
      </c>
      <c r="E305" s="582"/>
      <c r="F305" s="582"/>
      <c r="G305" s="582"/>
      <c r="H305" s="582"/>
      <c r="I305" s="580"/>
      <c r="J305" s="580"/>
      <c r="K305" s="580"/>
      <c r="L305" s="580"/>
      <c r="M305" s="580">
        <f>+M304*$Z$251/$Z$250</f>
        <v>154634.61538461538</v>
      </c>
      <c r="N305" s="582"/>
      <c r="O305" s="582"/>
      <c r="P305" s="580"/>
      <c r="Q305" s="580">
        <f>+Q304*$AD$251/$AD$250</f>
        <v>1288574.1710296683</v>
      </c>
      <c r="R305" s="580">
        <f>+R304*$AE$251/$AE$250</f>
        <v>1360141.8439716313</v>
      </c>
      <c r="S305" s="580"/>
      <c r="T305" s="581"/>
      <c r="U305" s="580"/>
      <c r="V305" s="581"/>
      <c r="W305" s="580"/>
      <c r="X305" s="580"/>
      <c r="Y305" s="603"/>
      <c r="Z305" s="580"/>
      <c r="AA305" s="580"/>
      <c r="AB305" s="574">
        <f t="shared" si="80"/>
        <v>0</v>
      </c>
      <c r="AC305" s="580">
        <f t="shared" si="80"/>
        <v>0</v>
      </c>
      <c r="AD305" s="580">
        <f t="shared" si="80"/>
        <v>1288574.1710296683</v>
      </c>
      <c r="AE305" s="580">
        <f t="shared" si="80"/>
        <v>1360141.8439716313</v>
      </c>
      <c r="AF305" s="822"/>
      <c r="AG305" s="828"/>
      <c r="AH305" s="822"/>
      <c r="AI305" s="822"/>
      <c r="AJ305" s="822"/>
      <c r="AK305" s="806"/>
      <c r="AL305" s="806"/>
      <c r="AM305" s="806"/>
      <c r="AN305" s="806"/>
      <c r="AO305" s="806"/>
      <c r="AP305" s="806"/>
      <c r="AQ305" s="806"/>
      <c r="AR305" s="806"/>
      <c r="AS305" s="806"/>
      <c r="AT305" s="806"/>
      <c r="AU305" s="806"/>
      <c r="AV305" s="806"/>
      <c r="AW305" s="806"/>
      <c r="AX305" s="806"/>
      <c r="AY305" s="600"/>
    </row>
    <row r="306" spans="1:51" ht="28.9" customHeight="1" x14ac:dyDescent="0.25">
      <c r="A306" s="828"/>
      <c r="B306" s="822"/>
      <c r="C306" s="822"/>
      <c r="D306" s="579" t="s">
        <v>351</v>
      </c>
      <c r="E306" s="582"/>
      <c r="F306" s="582"/>
      <c r="G306" s="582"/>
      <c r="H306" s="582"/>
      <c r="I306" s="580"/>
      <c r="J306" s="580"/>
      <c r="K306" s="580"/>
      <c r="L306" s="580"/>
      <c r="M306" s="580"/>
      <c r="N306" s="586"/>
      <c r="O306" s="573"/>
      <c r="P306" s="580"/>
      <c r="Q306" s="580"/>
      <c r="R306" s="580"/>
      <c r="S306" s="580"/>
      <c r="T306" s="581"/>
      <c r="U306" s="580"/>
      <c r="V306" s="581"/>
      <c r="W306" s="580"/>
      <c r="X306" s="580"/>
      <c r="Y306" s="603"/>
      <c r="Z306" s="580"/>
      <c r="AA306" s="581"/>
      <c r="AB306" s="574">
        <f t="shared" si="80"/>
        <v>0</v>
      </c>
      <c r="AC306" s="580">
        <f t="shared" si="80"/>
        <v>0</v>
      </c>
      <c r="AD306" s="580">
        <f t="shared" si="80"/>
        <v>0</v>
      </c>
      <c r="AE306" s="580">
        <f t="shared" si="80"/>
        <v>0</v>
      </c>
      <c r="AF306" s="822"/>
      <c r="AG306" s="828"/>
      <c r="AH306" s="822"/>
      <c r="AI306" s="822"/>
      <c r="AJ306" s="822"/>
      <c r="AK306" s="806"/>
      <c r="AL306" s="806"/>
      <c r="AM306" s="806"/>
      <c r="AN306" s="806"/>
      <c r="AO306" s="806"/>
      <c r="AP306" s="806"/>
      <c r="AQ306" s="806"/>
      <c r="AR306" s="806"/>
      <c r="AS306" s="806"/>
      <c r="AT306" s="806"/>
      <c r="AU306" s="806"/>
      <c r="AV306" s="806"/>
      <c r="AW306" s="806"/>
      <c r="AX306" s="806"/>
      <c r="AY306" s="600"/>
    </row>
    <row r="307" spans="1:51" ht="28.9" customHeight="1" x14ac:dyDescent="0.25">
      <c r="A307" s="828"/>
      <c r="B307" s="822"/>
      <c r="C307" s="822"/>
      <c r="D307" s="578" t="s">
        <v>352</v>
      </c>
      <c r="E307" s="582"/>
      <c r="F307" s="582"/>
      <c r="G307" s="582"/>
      <c r="H307" s="582"/>
      <c r="I307" s="580"/>
      <c r="J307" s="580"/>
      <c r="K307" s="580"/>
      <c r="L307" s="580"/>
      <c r="M307" s="580"/>
      <c r="N307" s="586"/>
      <c r="O307" s="573"/>
      <c r="P307" s="580"/>
      <c r="Q307" s="580"/>
      <c r="R307" s="580"/>
      <c r="S307" s="580"/>
      <c r="T307" s="581"/>
      <c r="U307" s="580"/>
      <c r="V307" s="581"/>
      <c r="W307" s="580"/>
      <c r="X307" s="580"/>
      <c r="Y307" s="603"/>
      <c r="Z307" s="580"/>
      <c r="AA307" s="581"/>
      <c r="AB307" s="574">
        <f t="shared" si="80"/>
        <v>0</v>
      </c>
      <c r="AC307" s="580">
        <f t="shared" si="80"/>
        <v>0</v>
      </c>
      <c r="AD307" s="580">
        <f t="shared" si="80"/>
        <v>0</v>
      </c>
      <c r="AE307" s="580">
        <f t="shared" si="80"/>
        <v>0</v>
      </c>
      <c r="AF307" s="822"/>
      <c r="AG307" s="828"/>
      <c r="AH307" s="822"/>
      <c r="AI307" s="822"/>
      <c r="AJ307" s="822"/>
      <c r="AK307" s="806"/>
      <c r="AL307" s="806"/>
      <c r="AM307" s="806"/>
      <c r="AN307" s="806"/>
      <c r="AO307" s="806"/>
      <c r="AP307" s="806"/>
      <c r="AQ307" s="806"/>
      <c r="AR307" s="806"/>
      <c r="AS307" s="806"/>
      <c r="AT307" s="806"/>
      <c r="AU307" s="806"/>
      <c r="AV307" s="806"/>
      <c r="AW307" s="806"/>
      <c r="AX307" s="806"/>
      <c r="AY307" s="600"/>
    </row>
    <row r="308" spans="1:51" ht="28.9" customHeight="1" x14ac:dyDescent="0.25">
      <c r="A308" s="828"/>
      <c r="B308" s="822"/>
      <c r="C308" s="822"/>
      <c r="D308" s="579" t="s">
        <v>353</v>
      </c>
      <c r="E308" s="582"/>
      <c r="F308" s="582"/>
      <c r="G308" s="582"/>
      <c r="H308" s="582"/>
      <c r="I308" s="580"/>
      <c r="J308" s="580"/>
      <c r="K308" s="580"/>
      <c r="L308" s="580"/>
      <c r="M308" s="580">
        <v>17</v>
      </c>
      <c r="N308" s="582"/>
      <c r="O308" s="582"/>
      <c r="P308" s="580"/>
      <c r="Q308" s="580">
        <v>223</v>
      </c>
      <c r="R308" s="580">
        <v>223</v>
      </c>
      <c r="S308" s="580"/>
      <c r="T308" s="581"/>
      <c r="U308" s="580"/>
      <c r="V308" s="581"/>
      <c r="W308" s="580"/>
      <c r="X308" s="580"/>
      <c r="Y308" s="603"/>
      <c r="Z308" s="580"/>
      <c r="AA308" s="580"/>
      <c r="AB308" s="574">
        <f t="shared" si="80"/>
        <v>0</v>
      </c>
      <c r="AC308" s="580">
        <f t="shared" si="80"/>
        <v>0</v>
      </c>
      <c r="AD308" s="580">
        <f t="shared" si="80"/>
        <v>223</v>
      </c>
      <c r="AE308" s="580">
        <f t="shared" si="80"/>
        <v>223</v>
      </c>
      <c r="AF308" s="822"/>
      <c r="AG308" s="828"/>
      <c r="AH308" s="822"/>
      <c r="AI308" s="822"/>
      <c r="AJ308" s="822"/>
      <c r="AK308" s="806"/>
      <c r="AL308" s="806"/>
      <c r="AM308" s="806"/>
      <c r="AN308" s="806"/>
      <c r="AO308" s="806"/>
      <c r="AP308" s="806"/>
      <c r="AQ308" s="806"/>
      <c r="AR308" s="806"/>
      <c r="AS308" s="806"/>
      <c r="AT308" s="806"/>
      <c r="AU308" s="806"/>
      <c r="AV308" s="806"/>
      <c r="AW308" s="806"/>
      <c r="AX308" s="806"/>
      <c r="AY308" s="600"/>
    </row>
    <row r="309" spans="1:51" ht="28.9" customHeight="1" x14ac:dyDescent="0.25">
      <c r="A309" s="828"/>
      <c r="B309" s="822"/>
      <c r="C309" s="823"/>
      <c r="D309" s="578" t="s">
        <v>354</v>
      </c>
      <c r="E309" s="582"/>
      <c r="F309" s="582"/>
      <c r="G309" s="582"/>
      <c r="H309" s="582"/>
      <c r="I309" s="580"/>
      <c r="J309" s="580"/>
      <c r="K309" s="580"/>
      <c r="L309" s="580"/>
      <c r="M309" s="580">
        <f>+M305+M307</f>
        <v>154634.61538461538</v>
      </c>
      <c r="N309" s="582"/>
      <c r="O309" s="582"/>
      <c r="P309" s="580"/>
      <c r="Q309" s="580">
        <f t="shared" ref="Q309:R309" si="81">+Q305</f>
        <v>1288574.1710296683</v>
      </c>
      <c r="R309" s="580">
        <f t="shared" si="81"/>
        <v>1360141.8439716313</v>
      </c>
      <c r="S309" s="580"/>
      <c r="T309" s="581"/>
      <c r="U309" s="580"/>
      <c r="V309" s="581"/>
      <c r="W309" s="580"/>
      <c r="X309" s="580"/>
      <c r="Y309" s="603"/>
      <c r="Z309" s="580"/>
      <c r="AA309" s="580"/>
      <c r="AB309" s="574">
        <f t="shared" si="80"/>
        <v>0</v>
      </c>
      <c r="AC309" s="580">
        <f t="shared" si="80"/>
        <v>0</v>
      </c>
      <c r="AD309" s="580">
        <f t="shared" si="80"/>
        <v>1288574.1710296683</v>
      </c>
      <c r="AE309" s="580">
        <f t="shared" si="80"/>
        <v>1360141.8439716313</v>
      </c>
      <c r="AF309" s="823"/>
      <c r="AG309" s="829"/>
      <c r="AH309" s="823"/>
      <c r="AI309" s="823"/>
      <c r="AJ309" s="823"/>
      <c r="AK309" s="807"/>
      <c r="AL309" s="807"/>
      <c r="AM309" s="807"/>
      <c r="AN309" s="807"/>
      <c r="AO309" s="807"/>
      <c r="AP309" s="807"/>
      <c r="AQ309" s="807"/>
      <c r="AR309" s="807"/>
      <c r="AS309" s="807"/>
      <c r="AT309" s="807"/>
      <c r="AU309" s="807"/>
      <c r="AV309" s="807"/>
      <c r="AW309" s="807"/>
      <c r="AX309" s="807"/>
      <c r="AY309" s="600"/>
    </row>
    <row r="310" spans="1:51" ht="19.149999999999999" customHeight="1" x14ac:dyDescent="0.25">
      <c r="A310" s="828"/>
      <c r="B310" s="822"/>
      <c r="C310" s="821" t="s">
        <v>710</v>
      </c>
      <c r="D310" s="572" t="s">
        <v>345</v>
      </c>
      <c r="E310" s="582"/>
      <c r="F310" s="582"/>
      <c r="G310" s="582"/>
      <c r="H310" s="582"/>
      <c r="I310" s="580"/>
      <c r="J310" s="580"/>
      <c r="K310" s="580"/>
      <c r="L310" s="580"/>
      <c r="M310" s="580">
        <v>17</v>
      </c>
      <c r="N310" s="586">
        <v>17</v>
      </c>
      <c r="O310" s="573">
        <v>17</v>
      </c>
      <c r="P310" s="580">
        <v>17</v>
      </c>
      <c r="Q310" s="580">
        <v>17</v>
      </c>
      <c r="R310" s="580">
        <v>17</v>
      </c>
      <c r="S310" s="580"/>
      <c r="T310" s="581"/>
      <c r="U310" s="580"/>
      <c r="V310" s="581"/>
      <c r="W310" s="580"/>
      <c r="X310" s="580"/>
      <c r="Y310" s="603">
        <f t="shared" ref="Y310:AE321" si="82">+L310</f>
        <v>0</v>
      </c>
      <c r="Z310" s="580">
        <f t="shared" si="82"/>
        <v>17</v>
      </c>
      <c r="AA310" s="581">
        <f t="shared" si="82"/>
        <v>17</v>
      </c>
      <c r="AB310" s="574">
        <f t="shared" si="82"/>
        <v>17</v>
      </c>
      <c r="AC310" s="580">
        <f t="shared" si="82"/>
        <v>17</v>
      </c>
      <c r="AD310" s="580">
        <f t="shared" si="82"/>
        <v>17</v>
      </c>
      <c r="AE310" s="580">
        <f t="shared" si="82"/>
        <v>17</v>
      </c>
      <c r="AF310" s="887" t="s">
        <v>711</v>
      </c>
      <c r="AG310" s="827" t="s">
        <v>529</v>
      </c>
      <c r="AH310" s="824" t="s">
        <v>708</v>
      </c>
      <c r="AI310" s="824" t="s">
        <v>709</v>
      </c>
      <c r="AJ310" s="821" t="s">
        <v>678</v>
      </c>
      <c r="AK310" s="826" t="s">
        <v>490</v>
      </c>
      <c r="AL310" s="826" t="s">
        <v>178</v>
      </c>
      <c r="AM310" s="826" t="s">
        <v>672</v>
      </c>
      <c r="AN310" s="820">
        <v>407645</v>
      </c>
      <c r="AO310" s="820">
        <v>201919</v>
      </c>
      <c r="AP310" s="820">
        <v>205726</v>
      </c>
      <c r="AQ310" s="844" t="s">
        <v>492</v>
      </c>
      <c r="AR310" s="844" t="s">
        <v>492</v>
      </c>
      <c r="AS310" s="844" t="s">
        <v>492</v>
      </c>
      <c r="AT310" s="844" t="s">
        <v>492</v>
      </c>
      <c r="AU310" s="805" t="s">
        <v>492</v>
      </c>
      <c r="AV310" s="805" t="s">
        <v>492</v>
      </c>
      <c r="AW310" s="805" t="s">
        <v>492</v>
      </c>
      <c r="AX310" s="808">
        <v>22438</v>
      </c>
      <c r="AY310" s="600"/>
    </row>
    <row r="311" spans="1:51" ht="19.149999999999999" customHeight="1" x14ac:dyDescent="0.25">
      <c r="A311" s="828"/>
      <c r="B311" s="822"/>
      <c r="C311" s="822"/>
      <c r="D311" s="578" t="s">
        <v>349</v>
      </c>
      <c r="E311" s="582"/>
      <c r="F311" s="582"/>
      <c r="G311" s="582"/>
      <c r="H311" s="582"/>
      <c r="I311" s="580"/>
      <c r="J311" s="580"/>
      <c r="K311" s="580"/>
      <c r="L311" s="580"/>
      <c r="M311" s="580">
        <f>+M310*$Z$251/$Z$250</f>
        <v>154634.61538461538</v>
      </c>
      <c r="N311" s="582">
        <f>+N310*$AA$251/$AA$250</f>
        <v>130565.99396891672</v>
      </c>
      <c r="O311" s="582">
        <f>+O310*$AB$251/$AB$250</f>
        <v>114965.27777777778</v>
      </c>
      <c r="P311" s="580">
        <f>+P310*$AC$251/$AC$250</f>
        <v>102209.91465407662</v>
      </c>
      <c r="Q311" s="580">
        <f>+Q310*$AD$251/$AD$250</f>
        <v>98232.111692844672</v>
      </c>
      <c r="R311" s="580">
        <f>+R310*$AE$251/$AE$250</f>
        <v>103687.94326241135</v>
      </c>
      <c r="S311" s="580"/>
      <c r="T311" s="581"/>
      <c r="U311" s="580"/>
      <c r="V311" s="581"/>
      <c r="W311" s="580"/>
      <c r="X311" s="580"/>
      <c r="Y311" s="603">
        <f t="shared" si="82"/>
        <v>0</v>
      </c>
      <c r="Z311" s="580">
        <f t="shared" si="82"/>
        <v>154634.61538461538</v>
      </c>
      <c r="AA311" s="580">
        <f t="shared" si="82"/>
        <v>130565.99396891672</v>
      </c>
      <c r="AB311" s="574">
        <f t="shared" si="82"/>
        <v>114965.27777777778</v>
      </c>
      <c r="AC311" s="580">
        <f t="shared" si="82"/>
        <v>102209.91465407662</v>
      </c>
      <c r="AD311" s="580">
        <f t="shared" si="82"/>
        <v>98232.111692844672</v>
      </c>
      <c r="AE311" s="580">
        <f t="shared" si="82"/>
        <v>103687.94326241135</v>
      </c>
      <c r="AF311" s="822"/>
      <c r="AG311" s="828"/>
      <c r="AH311" s="822"/>
      <c r="AI311" s="822"/>
      <c r="AJ311" s="822"/>
      <c r="AK311" s="806"/>
      <c r="AL311" s="806"/>
      <c r="AM311" s="806"/>
      <c r="AN311" s="806"/>
      <c r="AO311" s="806"/>
      <c r="AP311" s="806"/>
      <c r="AQ311" s="806"/>
      <c r="AR311" s="806"/>
      <c r="AS311" s="806"/>
      <c r="AT311" s="806"/>
      <c r="AU311" s="806"/>
      <c r="AV311" s="806"/>
      <c r="AW311" s="806"/>
      <c r="AX311" s="806"/>
      <c r="AY311" s="600"/>
    </row>
    <row r="312" spans="1:51" ht="28.9" customHeight="1" x14ac:dyDescent="0.25">
      <c r="A312" s="828"/>
      <c r="B312" s="822"/>
      <c r="C312" s="822"/>
      <c r="D312" s="579" t="s">
        <v>351</v>
      </c>
      <c r="E312" s="582"/>
      <c r="F312" s="582"/>
      <c r="G312" s="582"/>
      <c r="H312" s="582"/>
      <c r="I312" s="580"/>
      <c r="J312" s="580"/>
      <c r="K312" s="580"/>
      <c r="L312" s="580"/>
      <c r="M312" s="580"/>
      <c r="N312" s="586"/>
      <c r="O312" s="573"/>
      <c r="P312" s="580"/>
      <c r="Q312" s="580"/>
      <c r="R312" s="580"/>
      <c r="S312" s="580"/>
      <c r="T312" s="581"/>
      <c r="U312" s="580"/>
      <c r="V312" s="581"/>
      <c r="W312" s="580"/>
      <c r="X312" s="580"/>
      <c r="Y312" s="603">
        <f t="shared" si="82"/>
        <v>0</v>
      </c>
      <c r="Z312" s="580">
        <f t="shared" si="82"/>
        <v>0</v>
      </c>
      <c r="AA312" s="581">
        <f t="shared" si="82"/>
        <v>0</v>
      </c>
      <c r="AB312" s="574">
        <f t="shared" si="82"/>
        <v>0</v>
      </c>
      <c r="AC312" s="580">
        <f t="shared" si="82"/>
        <v>0</v>
      </c>
      <c r="AD312" s="580">
        <f t="shared" si="82"/>
        <v>0</v>
      </c>
      <c r="AE312" s="580">
        <f t="shared" si="82"/>
        <v>0</v>
      </c>
      <c r="AF312" s="822"/>
      <c r="AG312" s="828"/>
      <c r="AH312" s="822"/>
      <c r="AI312" s="822"/>
      <c r="AJ312" s="822"/>
      <c r="AK312" s="806"/>
      <c r="AL312" s="806"/>
      <c r="AM312" s="806"/>
      <c r="AN312" s="806"/>
      <c r="AO312" s="806"/>
      <c r="AP312" s="806"/>
      <c r="AQ312" s="806"/>
      <c r="AR312" s="806"/>
      <c r="AS312" s="806"/>
      <c r="AT312" s="806"/>
      <c r="AU312" s="806"/>
      <c r="AV312" s="806"/>
      <c r="AW312" s="806"/>
      <c r="AX312" s="806"/>
      <c r="AY312" s="600"/>
    </row>
    <row r="313" spans="1:51" ht="28.9" customHeight="1" x14ac:dyDescent="0.25">
      <c r="A313" s="828"/>
      <c r="B313" s="822"/>
      <c r="C313" s="822"/>
      <c r="D313" s="578" t="s">
        <v>352</v>
      </c>
      <c r="E313" s="582"/>
      <c r="F313" s="582"/>
      <c r="G313" s="582"/>
      <c r="H313" s="582"/>
      <c r="I313" s="580"/>
      <c r="J313" s="580"/>
      <c r="K313" s="580"/>
      <c r="L313" s="580"/>
      <c r="M313" s="580"/>
      <c r="N313" s="586"/>
      <c r="O313" s="573"/>
      <c r="P313" s="580"/>
      <c r="Q313" s="580"/>
      <c r="R313" s="580"/>
      <c r="S313" s="580"/>
      <c r="T313" s="581"/>
      <c r="U313" s="580"/>
      <c r="V313" s="581"/>
      <c r="W313" s="580"/>
      <c r="X313" s="580"/>
      <c r="Y313" s="603">
        <f t="shared" si="82"/>
        <v>0</v>
      </c>
      <c r="Z313" s="580">
        <f t="shared" si="82"/>
        <v>0</v>
      </c>
      <c r="AA313" s="581">
        <f t="shared" si="82"/>
        <v>0</v>
      </c>
      <c r="AB313" s="574">
        <f t="shared" si="82"/>
        <v>0</v>
      </c>
      <c r="AC313" s="580">
        <f t="shared" si="82"/>
        <v>0</v>
      </c>
      <c r="AD313" s="580">
        <f t="shared" si="82"/>
        <v>0</v>
      </c>
      <c r="AE313" s="580">
        <f t="shared" si="82"/>
        <v>0</v>
      </c>
      <c r="AF313" s="822"/>
      <c r="AG313" s="828"/>
      <c r="AH313" s="822"/>
      <c r="AI313" s="822"/>
      <c r="AJ313" s="822"/>
      <c r="AK313" s="806"/>
      <c r="AL313" s="806"/>
      <c r="AM313" s="806"/>
      <c r="AN313" s="806"/>
      <c r="AO313" s="806"/>
      <c r="AP313" s="806"/>
      <c r="AQ313" s="806"/>
      <c r="AR313" s="806"/>
      <c r="AS313" s="806"/>
      <c r="AT313" s="806"/>
      <c r="AU313" s="806"/>
      <c r="AV313" s="806"/>
      <c r="AW313" s="806"/>
      <c r="AX313" s="806"/>
      <c r="AY313" s="600"/>
    </row>
    <row r="314" spans="1:51" ht="28.9" customHeight="1" x14ac:dyDescent="0.25">
      <c r="A314" s="828"/>
      <c r="B314" s="822"/>
      <c r="C314" s="822"/>
      <c r="D314" s="579" t="s">
        <v>353</v>
      </c>
      <c r="E314" s="582"/>
      <c r="F314" s="582"/>
      <c r="G314" s="582"/>
      <c r="H314" s="582"/>
      <c r="I314" s="580"/>
      <c r="J314" s="580"/>
      <c r="K314" s="580"/>
      <c r="L314" s="580"/>
      <c r="M314" s="580">
        <v>17</v>
      </c>
      <c r="N314" s="582">
        <v>17</v>
      </c>
      <c r="O314" s="582">
        <v>17</v>
      </c>
      <c r="P314" s="580">
        <v>17</v>
      </c>
      <c r="Q314" s="580">
        <v>17</v>
      </c>
      <c r="R314" s="580">
        <v>17</v>
      </c>
      <c r="S314" s="580"/>
      <c r="T314" s="581"/>
      <c r="U314" s="580"/>
      <c r="V314" s="581"/>
      <c r="W314" s="580"/>
      <c r="X314" s="580"/>
      <c r="Y314" s="603">
        <f t="shared" si="82"/>
        <v>0</v>
      </c>
      <c r="Z314" s="580">
        <f t="shared" si="82"/>
        <v>17</v>
      </c>
      <c r="AA314" s="580">
        <f t="shared" si="82"/>
        <v>17</v>
      </c>
      <c r="AB314" s="574">
        <f t="shared" si="82"/>
        <v>17</v>
      </c>
      <c r="AC314" s="580">
        <f t="shared" si="82"/>
        <v>17</v>
      </c>
      <c r="AD314" s="580">
        <f t="shared" si="82"/>
        <v>17</v>
      </c>
      <c r="AE314" s="580">
        <f t="shared" si="82"/>
        <v>17</v>
      </c>
      <c r="AF314" s="822"/>
      <c r="AG314" s="828"/>
      <c r="AH314" s="822"/>
      <c r="AI314" s="822"/>
      <c r="AJ314" s="822"/>
      <c r="AK314" s="806"/>
      <c r="AL314" s="806"/>
      <c r="AM314" s="806"/>
      <c r="AN314" s="806"/>
      <c r="AO314" s="806"/>
      <c r="AP314" s="806"/>
      <c r="AQ314" s="806"/>
      <c r="AR314" s="806"/>
      <c r="AS314" s="806"/>
      <c r="AT314" s="806"/>
      <c r="AU314" s="806"/>
      <c r="AV314" s="806"/>
      <c r="AW314" s="806"/>
      <c r="AX314" s="806"/>
      <c r="AY314" s="600"/>
    </row>
    <row r="315" spans="1:51" ht="28.9" customHeight="1" x14ac:dyDescent="0.25">
      <c r="A315" s="828"/>
      <c r="B315" s="822"/>
      <c r="C315" s="823"/>
      <c r="D315" s="578" t="s">
        <v>354</v>
      </c>
      <c r="E315" s="582"/>
      <c r="F315" s="582"/>
      <c r="G315" s="582"/>
      <c r="H315" s="582"/>
      <c r="I315" s="580"/>
      <c r="J315" s="580"/>
      <c r="K315" s="580"/>
      <c r="L315" s="580"/>
      <c r="M315" s="580">
        <f t="shared" ref="M315:R315" si="83">+M311+M313</f>
        <v>154634.61538461538</v>
      </c>
      <c r="N315" s="582">
        <f t="shared" si="83"/>
        <v>130565.99396891672</v>
      </c>
      <c r="O315" s="582">
        <f t="shared" si="83"/>
        <v>114965.27777777778</v>
      </c>
      <c r="P315" s="580">
        <f t="shared" si="83"/>
        <v>102209.91465407662</v>
      </c>
      <c r="Q315" s="580">
        <f t="shared" si="83"/>
        <v>98232.111692844672</v>
      </c>
      <c r="R315" s="580">
        <f t="shared" si="83"/>
        <v>103687.94326241135</v>
      </c>
      <c r="S315" s="580"/>
      <c r="T315" s="581"/>
      <c r="U315" s="580"/>
      <c r="V315" s="581"/>
      <c r="W315" s="580"/>
      <c r="X315" s="580"/>
      <c r="Y315" s="603">
        <f t="shared" si="82"/>
        <v>0</v>
      </c>
      <c r="Z315" s="580">
        <f t="shared" si="82"/>
        <v>154634.61538461538</v>
      </c>
      <c r="AA315" s="580">
        <f t="shared" si="82"/>
        <v>130565.99396891672</v>
      </c>
      <c r="AB315" s="574">
        <f t="shared" si="82"/>
        <v>114965.27777777778</v>
      </c>
      <c r="AC315" s="580">
        <f t="shared" si="82"/>
        <v>102209.91465407662</v>
      </c>
      <c r="AD315" s="580">
        <f t="shared" si="82"/>
        <v>98232.111692844672</v>
      </c>
      <c r="AE315" s="580">
        <f t="shared" si="82"/>
        <v>103687.94326241135</v>
      </c>
      <c r="AF315" s="823"/>
      <c r="AG315" s="829"/>
      <c r="AH315" s="823"/>
      <c r="AI315" s="823"/>
      <c r="AJ315" s="823"/>
      <c r="AK315" s="807"/>
      <c r="AL315" s="807"/>
      <c r="AM315" s="807"/>
      <c r="AN315" s="807"/>
      <c r="AO315" s="807"/>
      <c r="AP315" s="807"/>
      <c r="AQ315" s="807"/>
      <c r="AR315" s="807"/>
      <c r="AS315" s="807"/>
      <c r="AT315" s="807"/>
      <c r="AU315" s="807"/>
      <c r="AV315" s="807"/>
      <c r="AW315" s="807"/>
      <c r="AX315" s="807"/>
      <c r="AY315" s="600"/>
    </row>
    <row r="316" spans="1:51" ht="19.149999999999999" customHeight="1" x14ac:dyDescent="0.25">
      <c r="A316" s="828"/>
      <c r="B316" s="822"/>
      <c r="C316" s="821" t="s">
        <v>712</v>
      </c>
      <c r="D316" s="572" t="s">
        <v>345</v>
      </c>
      <c r="E316" s="582"/>
      <c r="F316" s="582"/>
      <c r="G316" s="582"/>
      <c r="H316" s="582"/>
      <c r="I316" s="580"/>
      <c r="J316" s="580"/>
      <c r="K316" s="580"/>
      <c r="L316" s="580"/>
      <c r="M316" s="580"/>
      <c r="N316" s="586"/>
      <c r="O316" s="573"/>
      <c r="P316" s="580"/>
      <c r="Q316" s="580"/>
      <c r="R316" s="580">
        <v>140</v>
      </c>
      <c r="S316" s="580"/>
      <c r="T316" s="581"/>
      <c r="U316" s="580"/>
      <c r="V316" s="581"/>
      <c r="W316" s="580"/>
      <c r="X316" s="580"/>
      <c r="Y316" s="603"/>
      <c r="Z316" s="580"/>
      <c r="AA316" s="581"/>
      <c r="AB316" s="574"/>
      <c r="AC316" s="580"/>
      <c r="AD316" s="580"/>
      <c r="AE316" s="580">
        <f t="shared" si="82"/>
        <v>140</v>
      </c>
      <c r="AF316" s="887" t="s">
        <v>713</v>
      </c>
      <c r="AG316" s="890" t="s">
        <v>714</v>
      </c>
      <c r="AH316" s="824" t="s">
        <v>715</v>
      </c>
      <c r="AI316" s="824" t="s">
        <v>716</v>
      </c>
      <c r="AJ316" s="821" t="s">
        <v>678</v>
      </c>
      <c r="AK316" s="826" t="s">
        <v>490</v>
      </c>
      <c r="AL316" s="826" t="s">
        <v>178</v>
      </c>
      <c r="AM316" s="826" t="s">
        <v>672</v>
      </c>
      <c r="AN316" s="820">
        <v>817019</v>
      </c>
      <c r="AO316" s="820">
        <v>387428</v>
      </c>
      <c r="AP316" s="820">
        <v>429591</v>
      </c>
      <c r="AQ316" s="844" t="s">
        <v>492</v>
      </c>
      <c r="AR316" s="844" t="s">
        <v>492</v>
      </c>
      <c r="AS316" s="844" t="s">
        <v>492</v>
      </c>
      <c r="AT316" s="844" t="s">
        <v>492</v>
      </c>
      <c r="AU316" s="805" t="s">
        <v>492</v>
      </c>
      <c r="AV316" s="805" t="s">
        <v>492</v>
      </c>
      <c r="AW316" s="805" t="s">
        <v>492</v>
      </c>
      <c r="AX316" s="808">
        <v>815262</v>
      </c>
      <c r="AY316" s="600"/>
    </row>
    <row r="317" spans="1:51" ht="19.149999999999999" customHeight="1" x14ac:dyDescent="0.25">
      <c r="A317" s="828"/>
      <c r="B317" s="822"/>
      <c r="C317" s="822"/>
      <c r="D317" s="578" t="s">
        <v>349</v>
      </c>
      <c r="E317" s="582"/>
      <c r="F317" s="582"/>
      <c r="G317" s="582"/>
      <c r="H317" s="582"/>
      <c r="I317" s="580"/>
      <c r="J317" s="580"/>
      <c r="K317" s="580"/>
      <c r="L317" s="580"/>
      <c r="M317" s="580"/>
      <c r="N317" s="582"/>
      <c r="O317" s="573"/>
      <c r="P317" s="574"/>
      <c r="Q317" s="580"/>
      <c r="R317" s="580">
        <f>+R316*$AE$251/$AE$250</f>
        <v>853900.70921985817</v>
      </c>
      <c r="S317" s="580"/>
      <c r="T317" s="581"/>
      <c r="U317" s="580"/>
      <c r="V317" s="581"/>
      <c r="W317" s="580"/>
      <c r="X317" s="580"/>
      <c r="Y317" s="603"/>
      <c r="Z317" s="580"/>
      <c r="AA317" s="580"/>
      <c r="AB317" s="574"/>
      <c r="AC317" s="580"/>
      <c r="AD317" s="580"/>
      <c r="AE317" s="580">
        <f t="shared" si="82"/>
        <v>853900.70921985817</v>
      </c>
      <c r="AF317" s="822"/>
      <c r="AG317" s="828"/>
      <c r="AH317" s="822"/>
      <c r="AI317" s="822"/>
      <c r="AJ317" s="822"/>
      <c r="AK317" s="806"/>
      <c r="AL317" s="806"/>
      <c r="AM317" s="806"/>
      <c r="AN317" s="806"/>
      <c r="AO317" s="806"/>
      <c r="AP317" s="806"/>
      <c r="AQ317" s="806"/>
      <c r="AR317" s="806"/>
      <c r="AS317" s="806"/>
      <c r="AT317" s="806"/>
      <c r="AU317" s="806"/>
      <c r="AV317" s="806"/>
      <c r="AW317" s="806"/>
      <c r="AX317" s="806"/>
      <c r="AY317" s="600"/>
    </row>
    <row r="318" spans="1:51" ht="28.9" customHeight="1" x14ac:dyDescent="0.25">
      <c r="A318" s="828"/>
      <c r="B318" s="822"/>
      <c r="C318" s="822"/>
      <c r="D318" s="579" t="s">
        <v>351</v>
      </c>
      <c r="E318" s="582"/>
      <c r="F318" s="582"/>
      <c r="G318" s="582"/>
      <c r="H318" s="582"/>
      <c r="I318" s="580"/>
      <c r="J318" s="580"/>
      <c r="K318" s="580"/>
      <c r="L318" s="580"/>
      <c r="M318" s="580"/>
      <c r="N318" s="586"/>
      <c r="O318" s="573"/>
      <c r="P318" s="580"/>
      <c r="Q318" s="580"/>
      <c r="R318" s="580"/>
      <c r="S318" s="580"/>
      <c r="T318" s="581"/>
      <c r="U318" s="580"/>
      <c r="V318" s="581"/>
      <c r="W318" s="580"/>
      <c r="X318" s="580"/>
      <c r="Y318" s="603"/>
      <c r="Z318" s="580"/>
      <c r="AA318" s="581"/>
      <c r="AB318" s="574"/>
      <c r="AC318" s="580"/>
      <c r="AD318" s="580"/>
      <c r="AE318" s="580">
        <f t="shared" si="82"/>
        <v>0</v>
      </c>
      <c r="AF318" s="822"/>
      <c r="AG318" s="828"/>
      <c r="AH318" s="822"/>
      <c r="AI318" s="822"/>
      <c r="AJ318" s="822"/>
      <c r="AK318" s="806"/>
      <c r="AL318" s="806"/>
      <c r="AM318" s="806"/>
      <c r="AN318" s="806"/>
      <c r="AO318" s="806"/>
      <c r="AP318" s="806"/>
      <c r="AQ318" s="806"/>
      <c r="AR318" s="806"/>
      <c r="AS318" s="806"/>
      <c r="AT318" s="806"/>
      <c r="AU318" s="806"/>
      <c r="AV318" s="806"/>
      <c r="AW318" s="806"/>
      <c r="AX318" s="806"/>
      <c r="AY318" s="600"/>
    </row>
    <row r="319" spans="1:51" ht="28.9" customHeight="1" x14ac:dyDescent="0.25">
      <c r="A319" s="828"/>
      <c r="B319" s="822"/>
      <c r="C319" s="822"/>
      <c r="D319" s="578" t="s">
        <v>352</v>
      </c>
      <c r="E319" s="582"/>
      <c r="F319" s="582"/>
      <c r="G319" s="582"/>
      <c r="H319" s="582"/>
      <c r="I319" s="580"/>
      <c r="J319" s="580"/>
      <c r="K319" s="574"/>
      <c r="L319" s="574"/>
      <c r="M319" s="574"/>
      <c r="N319" s="573"/>
      <c r="O319" s="573"/>
      <c r="P319" s="580"/>
      <c r="Q319" s="580"/>
      <c r="R319" s="580"/>
      <c r="S319" s="580"/>
      <c r="T319" s="581"/>
      <c r="U319" s="580"/>
      <c r="V319" s="581"/>
      <c r="W319" s="580"/>
      <c r="X319" s="580"/>
      <c r="Y319" s="603"/>
      <c r="Z319" s="580"/>
      <c r="AA319" s="574"/>
      <c r="AB319" s="574"/>
      <c r="AC319" s="580"/>
      <c r="AD319" s="580"/>
      <c r="AE319" s="580">
        <f t="shared" si="82"/>
        <v>0</v>
      </c>
      <c r="AF319" s="822"/>
      <c r="AG319" s="828"/>
      <c r="AH319" s="822"/>
      <c r="AI319" s="822"/>
      <c r="AJ319" s="822"/>
      <c r="AK319" s="806"/>
      <c r="AL319" s="806"/>
      <c r="AM319" s="806"/>
      <c r="AN319" s="806"/>
      <c r="AO319" s="806"/>
      <c r="AP319" s="806"/>
      <c r="AQ319" s="806"/>
      <c r="AR319" s="806"/>
      <c r="AS319" s="806"/>
      <c r="AT319" s="806"/>
      <c r="AU319" s="806"/>
      <c r="AV319" s="806"/>
      <c r="AW319" s="806"/>
      <c r="AX319" s="806"/>
      <c r="AY319" s="600"/>
    </row>
    <row r="320" spans="1:51" ht="28.9" customHeight="1" x14ac:dyDescent="0.25">
      <c r="A320" s="828"/>
      <c r="B320" s="822"/>
      <c r="C320" s="822"/>
      <c r="D320" s="579" t="s">
        <v>353</v>
      </c>
      <c r="E320" s="582"/>
      <c r="F320" s="582"/>
      <c r="G320" s="582"/>
      <c r="H320" s="582"/>
      <c r="I320" s="580"/>
      <c r="J320" s="580"/>
      <c r="K320" s="580"/>
      <c r="L320" s="580"/>
      <c r="M320" s="580"/>
      <c r="N320" s="586"/>
      <c r="O320" s="573"/>
      <c r="P320" s="580"/>
      <c r="Q320" s="580"/>
      <c r="R320" s="580">
        <v>140</v>
      </c>
      <c r="S320" s="580"/>
      <c r="T320" s="581"/>
      <c r="U320" s="580"/>
      <c r="V320" s="581"/>
      <c r="W320" s="580"/>
      <c r="X320" s="580"/>
      <c r="Y320" s="603"/>
      <c r="Z320" s="580"/>
      <c r="AA320" s="581"/>
      <c r="AB320" s="574"/>
      <c r="AC320" s="580"/>
      <c r="AD320" s="580"/>
      <c r="AE320" s="580">
        <f t="shared" si="82"/>
        <v>140</v>
      </c>
      <c r="AF320" s="822"/>
      <c r="AG320" s="828"/>
      <c r="AH320" s="822"/>
      <c r="AI320" s="822"/>
      <c r="AJ320" s="822"/>
      <c r="AK320" s="806"/>
      <c r="AL320" s="806"/>
      <c r="AM320" s="806"/>
      <c r="AN320" s="806"/>
      <c r="AO320" s="806"/>
      <c r="AP320" s="806"/>
      <c r="AQ320" s="806"/>
      <c r="AR320" s="806"/>
      <c r="AS320" s="806"/>
      <c r="AT320" s="806"/>
      <c r="AU320" s="806"/>
      <c r="AV320" s="806"/>
      <c r="AW320" s="806"/>
      <c r="AX320" s="806"/>
      <c r="AY320" s="600"/>
    </row>
    <row r="321" spans="1:51" ht="28.9" customHeight="1" x14ac:dyDescent="0.25">
      <c r="A321" s="828"/>
      <c r="B321" s="822"/>
      <c r="C321" s="823"/>
      <c r="D321" s="578" t="s">
        <v>354</v>
      </c>
      <c r="E321" s="582"/>
      <c r="F321" s="582"/>
      <c r="G321" s="582"/>
      <c r="H321" s="582"/>
      <c r="I321" s="580"/>
      <c r="J321" s="580"/>
      <c r="K321" s="580"/>
      <c r="L321" s="580"/>
      <c r="M321" s="580"/>
      <c r="N321" s="582"/>
      <c r="O321" s="573"/>
      <c r="P321" s="574"/>
      <c r="Q321" s="580"/>
      <c r="R321" s="580">
        <f>+R317+R319</f>
        <v>853900.70921985817</v>
      </c>
      <c r="S321" s="580"/>
      <c r="T321" s="581"/>
      <c r="U321" s="580"/>
      <c r="V321" s="581"/>
      <c r="W321" s="580"/>
      <c r="X321" s="580"/>
      <c r="Y321" s="603"/>
      <c r="Z321" s="580"/>
      <c r="AA321" s="580"/>
      <c r="AB321" s="574"/>
      <c r="AC321" s="580"/>
      <c r="AD321" s="580"/>
      <c r="AE321" s="580">
        <f t="shared" si="82"/>
        <v>853900.70921985817</v>
      </c>
      <c r="AF321" s="823"/>
      <c r="AG321" s="829"/>
      <c r="AH321" s="823"/>
      <c r="AI321" s="823"/>
      <c r="AJ321" s="823"/>
      <c r="AK321" s="807"/>
      <c r="AL321" s="807"/>
      <c r="AM321" s="807"/>
      <c r="AN321" s="807"/>
      <c r="AO321" s="807"/>
      <c r="AP321" s="807"/>
      <c r="AQ321" s="807"/>
      <c r="AR321" s="807"/>
      <c r="AS321" s="807"/>
      <c r="AT321" s="807"/>
      <c r="AU321" s="807"/>
      <c r="AV321" s="807"/>
      <c r="AW321" s="807"/>
      <c r="AX321" s="807"/>
      <c r="AY321" s="600"/>
    </row>
    <row r="322" spans="1:51" ht="19.149999999999999" customHeight="1" x14ac:dyDescent="0.25">
      <c r="A322" s="828"/>
      <c r="B322" s="822"/>
      <c r="C322" s="821" t="s">
        <v>717</v>
      </c>
      <c r="D322" s="572" t="s">
        <v>345</v>
      </c>
      <c r="E322" s="582"/>
      <c r="F322" s="582"/>
      <c r="G322" s="582"/>
      <c r="H322" s="582"/>
      <c r="I322" s="580"/>
      <c r="J322" s="580"/>
      <c r="K322" s="580"/>
      <c r="L322" s="580"/>
      <c r="M322" s="580">
        <v>350</v>
      </c>
      <c r="N322" s="586">
        <v>350</v>
      </c>
      <c r="O322" s="573">
        <v>350</v>
      </c>
      <c r="P322" s="580">
        <v>350</v>
      </c>
      <c r="Q322" s="580">
        <v>350</v>
      </c>
      <c r="R322" s="580">
        <v>350</v>
      </c>
      <c r="S322" s="580"/>
      <c r="T322" s="581"/>
      <c r="U322" s="580"/>
      <c r="V322" s="581"/>
      <c r="W322" s="580"/>
      <c r="X322" s="580"/>
      <c r="Y322" s="603">
        <f t="shared" ref="Y322:AE337" si="84">+L322</f>
        <v>0</v>
      </c>
      <c r="Z322" s="580">
        <f t="shared" si="84"/>
        <v>350</v>
      </c>
      <c r="AA322" s="581">
        <f t="shared" si="84"/>
        <v>350</v>
      </c>
      <c r="AB322" s="574">
        <f t="shared" si="84"/>
        <v>350</v>
      </c>
      <c r="AC322" s="580">
        <f t="shared" si="84"/>
        <v>350</v>
      </c>
      <c r="AD322" s="580">
        <f t="shared" si="84"/>
        <v>350</v>
      </c>
      <c r="AE322" s="580">
        <f t="shared" si="84"/>
        <v>350</v>
      </c>
      <c r="AF322" s="887" t="s">
        <v>718</v>
      </c>
      <c r="AG322" s="827" t="s">
        <v>555</v>
      </c>
      <c r="AH322" s="824" t="s">
        <v>719</v>
      </c>
      <c r="AI322" s="824" t="s">
        <v>720</v>
      </c>
      <c r="AJ322" s="821" t="s">
        <v>678</v>
      </c>
      <c r="AK322" s="826" t="s">
        <v>490</v>
      </c>
      <c r="AL322" s="826" t="s">
        <v>178</v>
      </c>
      <c r="AM322" s="826" t="s">
        <v>672</v>
      </c>
      <c r="AN322" s="820">
        <v>817019</v>
      </c>
      <c r="AO322" s="820">
        <v>387428</v>
      </c>
      <c r="AP322" s="820">
        <v>429591</v>
      </c>
      <c r="AQ322" s="844" t="s">
        <v>492</v>
      </c>
      <c r="AR322" s="844" t="s">
        <v>492</v>
      </c>
      <c r="AS322" s="844" t="s">
        <v>492</v>
      </c>
      <c r="AT322" s="844" t="s">
        <v>492</v>
      </c>
      <c r="AU322" s="805" t="s">
        <v>492</v>
      </c>
      <c r="AV322" s="805" t="s">
        <v>492</v>
      </c>
      <c r="AW322" s="805" t="s">
        <v>492</v>
      </c>
      <c r="AX322" s="808">
        <v>815262</v>
      </c>
      <c r="AY322" s="600"/>
    </row>
    <row r="323" spans="1:51" ht="19.149999999999999" customHeight="1" x14ac:dyDescent="0.25">
      <c r="A323" s="828"/>
      <c r="B323" s="822"/>
      <c r="C323" s="822"/>
      <c r="D323" s="578" t="s">
        <v>349</v>
      </c>
      <c r="E323" s="582"/>
      <c r="F323" s="582"/>
      <c r="G323" s="582"/>
      <c r="H323" s="582"/>
      <c r="I323" s="580"/>
      <c r="J323" s="580"/>
      <c r="K323" s="580"/>
      <c r="L323" s="580"/>
      <c r="M323" s="580">
        <f>+M322*$Z$251/$Z$250</f>
        <v>3183653.846153846</v>
      </c>
      <c r="N323" s="582">
        <f>+N322*$AA$251/$AA$250</f>
        <v>2688123.405242403</v>
      </c>
      <c r="O323" s="582">
        <f>+O322*$AB$251/$AB$250</f>
        <v>2366932.1895424835</v>
      </c>
      <c r="P323" s="580">
        <f>+P322*$AC$251/$AC$250</f>
        <v>2104321.772289813</v>
      </c>
      <c r="Q323" s="580">
        <f>+Q322*$AD$251/$AD$250</f>
        <v>2022425.8289703317</v>
      </c>
      <c r="R323" s="580">
        <f>+R322*$AE$251/$AE$250</f>
        <v>2134751.7730496456</v>
      </c>
      <c r="S323" s="580"/>
      <c r="T323" s="581"/>
      <c r="U323" s="580"/>
      <c r="V323" s="581"/>
      <c r="W323" s="580"/>
      <c r="X323" s="580"/>
      <c r="Y323" s="603">
        <f t="shared" si="84"/>
        <v>0</v>
      </c>
      <c r="Z323" s="580">
        <f t="shared" si="84"/>
        <v>3183653.846153846</v>
      </c>
      <c r="AA323" s="580">
        <f t="shared" si="84"/>
        <v>2688123.405242403</v>
      </c>
      <c r="AB323" s="574">
        <f t="shared" si="84"/>
        <v>2366932.1895424835</v>
      </c>
      <c r="AC323" s="580">
        <f t="shared" si="84"/>
        <v>2104321.772289813</v>
      </c>
      <c r="AD323" s="580">
        <f t="shared" si="84"/>
        <v>2022425.8289703317</v>
      </c>
      <c r="AE323" s="580">
        <f t="shared" si="84"/>
        <v>2134751.7730496456</v>
      </c>
      <c r="AF323" s="822"/>
      <c r="AG323" s="828"/>
      <c r="AH323" s="822"/>
      <c r="AI323" s="822"/>
      <c r="AJ323" s="822"/>
      <c r="AK323" s="806"/>
      <c r="AL323" s="806"/>
      <c r="AM323" s="806"/>
      <c r="AN323" s="806"/>
      <c r="AO323" s="806"/>
      <c r="AP323" s="806"/>
      <c r="AQ323" s="806"/>
      <c r="AR323" s="806"/>
      <c r="AS323" s="806"/>
      <c r="AT323" s="806"/>
      <c r="AU323" s="806"/>
      <c r="AV323" s="806"/>
      <c r="AW323" s="806"/>
      <c r="AX323" s="806"/>
      <c r="AY323" s="600"/>
    </row>
    <row r="324" spans="1:51" ht="28.9" customHeight="1" x14ac:dyDescent="0.25">
      <c r="A324" s="828"/>
      <c r="B324" s="822"/>
      <c r="C324" s="822"/>
      <c r="D324" s="579" t="s">
        <v>351</v>
      </c>
      <c r="E324" s="582"/>
      <c r="F324" s="582"/>
      <c r="G324" s="582"/>
      <c r="H324" s="582"/>
      <c r="I324" s="580"/>
      <c r="J324" s="580"/>
      <c r="K324" s="580"/>
      <c r="L324" s="580"/>
      <c r="M324" s="580"/>
      <c r="N324" s="586"/>
      <c r="O324" s="573"/>
      <c r="P324" s="580"/>
      <c r="Q324" s="580"/>
      <c r="R324" s="580"/>
      <c r="S324" s="580"/>
      <c r="T324" s="581"/>
      <c r="U324" s="580"/>
      <c r="V324" s="581"/>
      <c r="W324" s="580"/>
      <c r="X324" s="580"/>
      <c r="Y324" s="603">
        <f t="shared" si="84"/>
        <v>0</v>
      </c>
      <c r="Z324" s="580">
        <f t="shared" si="84"/>
        <v>0</v>
      </c>
      <c r="AA324" s="581">
        <f t="shared" si="84"/>
        <v>0</v>
      </c>
      <c r="AB324" s="574">
        <f t="shared" si="84"/>
        <v>0</v>
      </c>
      <c r="AC324" s="580">
        <f t="shared" si="84"/>
        <v>0</v>
      </c>
      <c r="AD324" s="580">
        <f t="shared" si="84"/>
        <v>0</v>
      </c>
      <c r="AE324" s="580">
        <f t="shared" si="84"/>
        <v>0</v>
      </c>
      <c r="AF324" s="822"/>
      <c r="AG324" s="828"/>
      <c r="AH324" s="822"/>
      <c r="AI324" s="822"/>
      <c r="AJ324" s="822"/>
      <c r="AK324" s="806"/>
      <c r="AL324" s="806"/>
      <c r="AM324" s="806"/>
      <c r="AN324" s="806"/>
      <c r="AO324" s="806"/>
      <c r="AP324" s="806"/>
      <c r="AQ324" s="806"/>
      <c r="AR324" s="806"/>
      <c r="AS324" s="806"/>
      <c r="AT324" s="806"/>
      <c r="AU324" s="806"/>
      <c r="AV324" s="806"/>
      <c r="AW324" s="806"/>
      <c r="AX324" s="806"/>
      <c r="AY324" s="600"/>
    </row>
    <row r="325" spans="1:51" ht="28.9" customHeight="1" x14ac:dyDescent="0.25">
      <c r="A325" s="828"/>
      <c r="B325" s="822"/>
      <c r="C325" s="822"/>
      <c r="D325" s="578" t="s">
        <v>352</v>
      </c>
      <c r="E325" s="582"/>
      <c r="F325" s="582"/>
      <c r="G325" s="582"/>
      <c r="H325" s="582"/>
      <c r="I325" s="580"/>
      <c r="J325" s="580"/>
      <c r="K325" s="574"/>
      <c r="L325" s="574"/>
      <c r="M325" s="574"/>
      <c r="N325" s="573"/>
      <c r="O325" s="573"/>
      <c r="P325" s="580"/>
      <c r="Q325" s="580"/>
      <c r="R325" s="580"/>
      <c r="S325" s="580"/>
      <c r="T325" s="581"/>
      <c r="U325" s="580"/>
      <c r="V325" s="581"/>
      <c r="W325" s="580"/>
      <c r="X325" s="580"/>
      <c r="Y325" s="603">
        <f t="shared" si="84"/>
        <v>0</v>
      </c>
      <c r="Z325" s="580">
        <f t="shared" si="84"/>
        <v>0</v>
      </c>
      <c r="AA325" s="574">
        <f t="shared" si="84"/>
        <v>0</v>
      </c>
      <c r="AB325" s="574">
        <f t="shared" si="84"/>
        <v>0</v>
      </c>
      <c r="AC325" s="580">
        <f t="shared" si="84"/>
        <v>0</v>
      </c>
      <c r="AD325" s="580">
        <f t="shared" si="84"/>
        <v>0</v>
      </c>
      <c r="AE325" s="580">
        <f t="shared" si="84"/>
        <v>0</v>
      </c>
      <c r="AF325" s="822"/>
      <c r="AG325" s="828"/>
      <c r="AH325" s="822"/>
      <c r="AI325" s="822"/>
      <c r="AJ325" s="822"/>
      <c r="AK325" s="806"/>
      <c r="AL325" s="806"/>
      <c r="AM325" s="806"/>
      <c r="AN325" s="806"/>
      <c r="AO325" s="806"/>
      <c r="AP325" s="806"/>
      <c r="AQ325" s="806"/>
      <c r="AR325" s="806"/>
      <c r="AS325" s="806"/>
      <c r="AT325" s="806"/>
      <c r="AU325" s="806"/>
      <c r="AV325" s="806"/>
      <c r="AW325" s="806"/>
      <c r="AX325" s="806"/>
      <c r="AY325" s="600"/>
    </row>
    <row r="326" spans="1:51" ht="28.9" customHeight="1" x14ac:dyDescent="0.25">
      <c r="A326" s="828"/>
      <c r="B326" s="822"/>
      <c r="C326" s="822"/>
      <c r="D326" s="579" t="s">
        <v>353</v>
      </c>
      <c r="E326" s="582"/>
      <c r="F326" s="582"/>
      <c r="G326" s="582"/>
      <c r="H326" s="582"/>
      <c r="I326" s="580"/>
      <c r="J326" s="580"/>
      <c r="K326" s="580"/>
      <c r="L326" s="580"/>
      <c r="M326" s="580">
        <v>350</v>
      </c>
      <c r="N326" s="582">
        <v>350</v>
      </c>
      <c r="O326" s="582">
        <v>350</v>
      </c>
      <c r="P326" s="580">
        <v>350</v>
      </c>
      <c r="Q326" s="580">
        <v>350</v>
      </c>
      <c r="R326" s="580">
        <v>350</v>
      </c>
      <c r="S326" s="580"/>
      <c r="T326" s="581"/>
      <c r="U326" s="580"/>
      <c r="V326" s="581"/>
      <c r="W326" s="580"/>
      <c r="X326" s="580"/>
      <c r="Y326" s="603">
        <f t="shared" si="84"/>
        <v>0</v>
      </c>
      <c r="Z326" s="580">
        <f t="shared" si="84"/>
        <v>350</v>
      </c>
      <c r="AA326" s="580">
        <f t="shared" si="84"/>
        <v>350</v>
      </c>
      <c r="AB326" s="574">
        <f t="shared" si="84"/>
        <v>350</v>
      </c>
      <c r="AC326" s="580">
        <f t="shared" si="84"/>
        <v>350</v>
      </c>
      <c r="AD326" s="580">
        <f t="shared" si="84"/>
        <v>350</v>
      </c>
      <c r="AE326" s="580">
        <f t="shared" si="84"/>
        <v>350</v>
      </c>
      <c r="AF326" s="822"/>
      <c r="AG326" s="828"/>
      <c r="AH326" s="822"/>
      <c r="AI326" s="822"/>
      <c r="AJ326" s="822"/>
      <c r="AK326" s="806"/>
      <c r="AL326" s="806"/>
      <c r="AM326" s="806"/>
      <c r="AN326" s="806"/>
      <c r="AO326" s="806"/>
      <c r="AP326" s="806"/>
      <c r="AQ326" s="806"/>
      <c r="AR326" s="806"/>
      <c r="AS326" s="806"/>
      <c r="AT326" s="806"/>
      <c r="AU326" s="806"/>
      <c r="AV326" s="806"/>
      <c r="AW326" s="806"/>
      <c r="AX326" s="806"/>
      <c r="AY326" s="600"/>
    </row>
    <row r="327" spans="1:51" ht="28.9" customHeight="1" x14ac:dyDescent="0.25">
      <c r="A327" s="828"/>
      <c r="B327" s="822"/>
      <c r="C327" s="823"/>
      <c r="D327" s="578" t="s">
        <v>354</v>
      </c>
      <c r="E327" s="582"/>
      <c r="F327" s="582"/>
      <c r="G327" s="582"/>
      <c r="H327" s="582"/>
      <c r="I327" s="580"/>
      <c r="J327" s="580"/>
      <c r="K327" s="580"/>
      <c r="L327" s="580"/>
      <c r="M327" s="580">
        <f t="shared" ref="M327:R327" si="85">+M323+M325</f>
        <v>3183653.846153846</v>
      </c>
      <c r="N327" s="582">
        <f t="shared" si="85"/>
        <v>2688123.405242403</v>
      </c>
      <c r="O327" s="582">
        <f t="shared" si="85"/>
        <v>2366932.1895424835</v>
      </c>
      <c r="P327" s="580">
        <f t="shared" si="85"/>
        <v>2104321.772289813</v>
      </c>
      <c r="Q327" s="580">
        <f t="shared" si="85"/>
        <v>2022425.8289703317</v>
      </c>
      <c r="R327" s="580">
        <f t="shared" si="85"/>
        <v>2134751.7730496456</v>
      </c>
      <c r="S327" s="580"/>
      <c r="T327" s="581"/>
      <c r="U327" s="580"/>
      <c r="V327" s="581"/>
      <c r="W327" s="580"/>
      <c r="X327" s="580"/>
      <c r="Y327" s="603">
        <f t="shared" si="84"/>
        <v>0</v>
      </c>
      <c r="Z327" s="580">
        <f t="shared" si="84"/>
        <v>3183653.846153846</v>
      </c>
      <c r="AA327" s="580">
        <f t="shared" si="84"/>
        <v>2688123.405242403</v>
      </c>
      <c r="AB327" s="574">
        <f t="shared" si="84"/>
        <v>2366932.1895424835</v>
      </c>
      <c r="AC327" s="580">
        <f t="shared" si="84"/>
        <v>2104321.772289813</v>
      </c>
      <c r="AD327" s="580">
        <f t="shared" si="84"/>
        <v>2022425.8289703317</v>
      </c>
      <c r="AE327" s="580">
        <f t="shared" si="84"/>
        <v>2134751.7730496456</v>
      </c>
      <c r="AF327" s="823"/>
      <c r="AG327" s="829"/>
      <c r="AH327" s="823"/>
      <c r="AI327" s="823"/>
      <c r="AJ327" s="823"/>
      <c r="AK327" s="807"/>
      <c r="AL327" s="807"/>
      <c r="AM327" s="807"/>
      <c r="AN327" s="807"/>
      <c r="AO327" s="807"/>
      <c r="AP327" s="807"/>
      <c r="AQ327" s="807"/>
      <c r="AR327" s="807"/>
      <c r="AS327" s="807"/>
      <c r="AT327" s="807"/>
      <c r="AU327" s="807"/>
      <c r="AV327" s="807"/>
      <c r="AW327" s="807"/>
      <c r="AX327" s="807"/>
      <c r="AY327" s="600"/>
    </row>
    <row r="328" spans="1:51" ht="19.149999999999999" customHeight="1" x14ac:dyDescent="0.25">
      <c r="A328" s="828"/>
      <c r="B328" s="822"/>
      <c r="C328" s="821" t="s">
        <v>721</v>
      </c>
      <c r="D328" s="572" t="s">
        <v>345</v>
      </c>
      <c r="E328" s="582"/>
      <c r="F328" s="582"/>
      <c r="G328" s="582"/>
      <c r="H328" s="582"/>
      <c r="I328" s="580"/>
      <c r="J328" s="580"/>
      <c r="K328" s="580"/>
      <c r="L328" s="580"/>
      <c r="M328" s="580">
        <v>28</v>
      </c>
      <c r="N328" s="586">
        <v>28</v>
      </c>
      <c r="O328" s="573">
        <v>28</v>
      </c>
      <c r="P328" s="580">
        <v>28</v>
      </c>
      <c r="Q328" s="580">
        <v>28</v>
      </c>
      <c r="R328" s="580">
        <v>28</v>
      </c>
      <c r="S328" s="580"/>
      <c r="T328" s="581"/>
      <c r="U328" s="580"/>
      <c r="V328" s="581"/>
      <c r="W328" s="580"/>
      <c r="X328" s="580"/>
      <c r="Y328" s="603">
        <f t="shared" si="84"/>
        <v>0</v>
      </c>
      <c r="Z328" s="580">
        <f t="shared" si="84"/>
        <v>28</v>
      </c>
      <c r="AA328" s="581">
        <f t="shared" si="84"/>
        <v>28</v>
      </c>
      <c r="AB328" s="574">
        <f t="shared" si="84"/>
        <v>28</v>
      </c>
      <c r="AC328" s="580">
        <f t="shared" si="84"/>
        <v>28</v>
      </c>
      <c r="AD328" s="580">
        <f t="shared" si="84"/>
        <v>28</v>
      </c>
      <c r="AE328" s="580">
        <f t="shared" si="84"/>
        <v>28</v>
      </c>
      <c r="AF328" s="887" t="s">
        <v>722</v>
      </c>
      <c r="AG328" s="827" t="s">
        <v>555</v>
      </c>
      <c r="AH328" s="824" t="s">
        <v>723</v>
      </c>
      <c r="AI328" s="824" t="s">
        <v>724</v>
      </c>
      <c r="AJ328" s="821" t="s">
        <v>678</v>
      </c>
      <c r="AK328" s="826" t="s">
        <v>490</v>
      </c>
      <c r="AL328" s="826" t="s">
        <v>178</v>
      </c>
      <c r="AM328" s="826" t="s">
        <v>672</v>
      </c>
      <c r="AN328" s="820">
        <v>817019</v>
      </c>
      <c r="AO328" s="820">
        <v>387428</v>
      </c>
      <c r="AP328" s="820">
        <v>429591</v>
      </c>
      <c r="AQ328" s="844" t="s">
        <v>492</v>
      </c>
      <c r="AR328" s="844" t="s">
        <v>492</v>
      </c>
      <c r="AS328" s="844" t="s">
        <v>492</v>
      </c>
      <c r="AT328" s="844" t="s">
        <v>492</v>
      </c>
      <c r="AU328" s="805" t="s">
        <v>492</v>
      </c>
      <c r="AV328" s="805" t="s">
        <v>492</v>
      </c>
      <c r="AW328" s="805" t="s">
        <v>492</v>
      </c>
      <c r="AX328" s="808">
        <v>815262</v>
      </c>
      <c r="AY328" s="600"/>
    </row>
    <row r="329" spans="1:51" ht="19.149999999999999" customHeight="1" x14ac:dyDescent="0.25">
      <c r="A329" s="828"/>
      <c r="B329" s="822"/>
      <c r="C329" s="822"/>
      <c r="D329" s="578" t="s">
        <v>349</v>
      </c>
      <c r="E329" s="582"/>
      <c r="F329" s="582"/>
      <c r="G329" s="582"/>
      <c r="H329" s="582"/>
      <c r="I329" s="580"/>
      <c r="J329" s="580"/>
      <c r="K329" s="580"/>
      <c r="L329" s="580"/>
      <c r="M329" s="580">
        <f>+M328*$Z$251/$Z$250</f>
        <v>254692.30769230769</v>
      </c>
      <c r="N329" s="582">
        <f>+N328*$AA$251/$AA$250</f>
        <v>215049.87241939225</v>
      </c>
      <c r="O329" s="582">
        <f>+O328*$AB$251/$AB$250</f>
        <v>189354.57516339869</v>
      </c>
      <c r="P329" s="580">
        <f>+P328*$AC$251/$AC$250</f>
        <v>168345.74178318505</v>
      </c>
      <c r="Q329" s="580">
        <f>+Q328*$AD$251/$AD$250</f>
        <v>161794.06631762654</v>
      </c>
      <c r="R329" s="580">
        <f>+R328*$AE$251/$AE$250</f>
        <v>170780.14184397162</v>
      </c>
      <c r="S329" s="580"/>
      <c r="T329" s="581"/>
      <c r="U329" s="580"/>
      <c r="V329" s="581"/>
      <c r="W329" s="580"/>
      <c r="X329" s="580"/>
      <c r="Y329" s="603">
        <f t="shared" si="84"/>
        <v>0</v>
      </c>
      <c r="Z329" s="580">
        <f t="shared" si="84"/>
        <v>254692.30769230769</v>
      </c>
      <c r="AA329" s="580">
        <f t="shared" si="84"/>
        <v>215049.87241939225</v>
      </c>
      <c r="AB329" s="574">
        <f t="shared" si="84"/>
        <v>189354.57516339869</v>
      </c>
      <c r="AC329" s="580">
        <f t="shared" si="84"/>
        <v>168345.74178318505</v>
      </c>
      <c r="AD329" s="580">
        <f t="shared" si="84"/>
        <v>161794.06631762654</v>
      </c>
      <c r="AE329" s="580">
        <f t="shared" si="84"/>
        <v>170780.14184397162</v>
      </c>
      <c r="AF329" s="822"/>
      <c r="AG329" s="828"/>
      <c r="AH329" s="822"/>
      <c r="AI329" s="822"/>
      <c r="AJ329" s="822"/>
      <c r="AK329" s="806"/>
      <c r="AL329" s="806"/>
      <c r="AM329" s="806"/>
      <c r="AN329" s="806"/>
      <c r="AO329" s="806"/>
      <c r="AP329" s="806"/>
      <c r="AQ329" s="806"/>
      <c r="AR329" s="806"/>
      <c r="AS329" s="806"/>
      <c r="AT329" s="806"/>
      <c r="AU329" s="806"/>
      <c r="AV329" s="806"/>
      <c r="AW329" s="806"/>
      <c r="AX329" s="806"/>
      <c r="AY329" s="600"/>
    </row>
    <row r="330" spans="1:51" ht="28.9" customHeight="1" x14ac:dyDescent="0.25">
      <c r="A330" s="828"/>
      <c r="B330" s="822"/>
      <c r="C330" s="822"/>
      <c r="D330" s="579" t="s">
        <v>351</v>
      </c>
      <c r="E330" s="582"/>
      <c r="F330" s="582"/>
      <c r="G330" s="582"/>
      <c r="H330" s="582"/>
      <c r="I330" s="580"/>
      <c r="J330" s="580"/>
      <c r="K330" s="580"/>
      <c r="L330" s="580"/>
      <c r="M330" s="580"/>
      <c r="N330" s="586"/>
      <c r="O330" s="573"/>
      <c r="P330" s="580"/>
      <c r="Q330" s="580"/>
      <c r="R330" s="580"/>
      <c r="S330" s="580"/>
      <c r="T330" s="581"/>
      <c r="U330" s="580"/>
      <c r="V330" s="581"/>
      <c r="W330" s="580"/>
      <c r="X330" s="580"/>
      <c r="Y330" s="603">
        <f t="shared" si="84"/>
        <v>0</v>
      </c>
      <c r="Z330" s="580">
        <f t="shared" si="84"/>
        <v>0</v>
      </c>
      <c r="AA330" s="581">
        <f t="shared" si="84"/>
        <v>0</v>
      </c>
      <c r="AB330" s="574">
        <f t="shared" si="84"/>
        <v>0</v>
      </c>
      <c r="AC330" s="580">
        <f t="shared" si="84"/>
        <v>0</v>
      </c>
      <c r="AD330" s="580">
        <f t="shared" si="84"/>
        <v>0</v>
      </c>
      <c r="AE330" s="580">
        <f t="shared" si="84"/>
        <v>0</v>
      </c>
      <c r="AF330" s="822"/>
      <c r="AG330" s="828"/>
      <c r="AH330" s="822"/>
      <c r="AI330" s="822"/>
      <c r="AJ330" s="822"/>
      <c r="AK330" s="806"/>
      <c r="AL330" s="806"/>
      <c r="AM330" s="806"/>
      <c r="AN330" s="806"/>
      <c r="AO330" s="806"/>
      <c r="AP330" s="806"/>
      <c r="AQ330" s="806"/>
      <c r="AR330" s="806"/>
      <c r="AS330" s="806"/>
      <c r="AT330" s="806"/>
      <c r="AU330" s="806"/>
      <c r="AV330" s="806"/>
      <c r="AW330" s="806"/>
      <c r="AX330" s="806"/>
      <c r="AY330" s="600"/>
    </row>
    <row r="331" spans="1:51" ht="28.9" customHeight="1" x14ac:dyDescent="0.25">
      <c r="A331" s="828"/>
      <c r="B331" s="822"/>
      <c r="C331" s="822"/>
      <c r="D331" s="578" t="s">
        <v>352</v>
      </c>
      <c r="E331" s="582"/>
      <c r="F331" s="582"/>
      <c r="G331" s="582"/>
      <c r="H331" s="582"/>
      <c r="I331" s="580"/>
      <c r="J331" s="580"/>
      <c r="K331" s="574"/>
      <c r="L331" s="574"/>
      <c r="M331" s="574"/>
      <c r="N331" s="573"/>
      <c r="O331" s="573"/>
      <c r="P331" s="574"/>
      <c r="Q331" s="580"/>
      <c r="R331" s="580"/>
      <c r="S331" s="580"/>
      <c r="T331" s="581"/>
      <c r="U331" s="580"/>
      <c r="V331" s="581"/>
      <c r="W331" s="580"/>
      <c r="X331" s="580"/>
      <c r="Y331" s="603">
        <f t="shared" si="84"/>
        <v>0</v>
      </c>
      <c r="Z331" s="580">
        <f t="shared" si="84"/>
        <v>0</v>
      </c>
      <c r="AA331" s="574">
        <f t="shared" si="84"/>
        <v>0</v>
      </c>
      <c r="AB331" s="574">
        <f t="shared" si="84"/>
        <v>0</v>
      </c>
      <c r="AC331" s="580">
        <f t="shared" si="84"/>
        <v>0</v>
      </c>
      <c r="AD331" s="580">
        <f t="shared" si="84"/>
        <v>0</v>
      </c>
      <c r="AE331" s="580">
        <f t="shared" si="84"/>
        <v>0</v>
      </c>
      <c r="AF331" s="822"/>
      <c r="AG331" s="828"/>
      <c r="AH331" s="822"/>
      <c r="AI331" s="822"/>
      <c r="AJ331" s="822"/>
      <c r="AK331" s="806"/>
      <c r="AL331" s="806"/>
      <c r="AM331" s="806"/>
      <c r="AN331" s="806"/>
      <c r="AO331" s="806"/>
      <c r="AP331" s="806"/>
      <c r="AQ331" s="806"/>
      <c r="AR331" s="806"/>
      <c r="AS331" s="806"/>
      <c r="AT331" s="806"/>
      <c r="AU331" s="806"/>
      <c r="AV331" s="806"/>
      <c r="AW331" s="806"/>
      <c r="AX331" s="806"/>
      <c r="AY331" s="600"/>
    </row>
    <row r="332" spans="1:51" ht="28.9" customHeight="1" x14ac:dyDescent="0.25">
      <c r="A332" s="828"/>
      <c r="B332" s="822"/>
      <c r="C332" s="822"/>
      <c r="D332" s="579" t="s">
        <v>353</v>
      </c>
      <c r="E332" s="582"/>
      <c r="F332" s="582"/>
      <c r="G332" s="582"/>
      <c r="H332" s="582"/>
      <c r="I332" s="580"/>
      <c r="J332" s="580"/>
      <c r="K332" s="580"/>
      <c r="L332" s="580"/>
      <c r="M332" s="580">
        <v>28</v>
      </c>
      <c r="N332" s="582">
        <v>28</v>
      </c>
      <c r="O332" s="582">
        <v>28</v>
      </c>
      <c r="P332" s="580">
        <v>28</v>
      </c>
      <c r="Q332" s="580">
        <v>28</v>
      </c>
      <c r="R332" s="580">
        <v>28</v>
      </c>
      <c r="S332" s="580"/>
      <c r="T332" s="581"/>
      <c r="U332" s="580"/>
      <c r="V332" s="581"/>
      <c r="W332" s="580"/>
      <c r="X332" s="580"/>
      <c r="Y332" s="603">
        <f t="shared" si="84"/>
        <v>0</v>
      </c>
      <c r="Z332" s="580">
        <f t="shared" si="84"/>
        <v>28</v>
      </c>
      <c r="AA332" s="580">
        <f t="shared" si="84"/>
        <v>28</v>
      </c>
      <c r="AB332" s="574">
        <f t="shared" si="84"/>
        <v>28</v>
      </c>
      <c r="AC332" s="580">
        <f t="shared" si="84"/>
        <v>28</v>
      </c>
      <c r="AD332" s="580">
        <f t="shared" si="84"/>
        <v>28</v>
      </c>
      <c r="AE332" s="580">
        <f t="shared" si="84"/>
        <v>28</v>
      </c>
      <c r="AF332" s="822"/>
      <c r="AG332" s="828"/>
      <c r="AH332" s="822"/>
      <c r="AI332" s="822"/>
      <c r="AJ332" s="822"/>
      <c r="AK332" s="806"/>
      <c r="AL332" s="806"/>
      <c r="AM332" s="806"/>
      <c r="AN332" s="806"/>
      <c r="AO332" s="806"/>
      <c r="AP332" s="806"/>
      <c r="AQ332" s="806"/>
      <c r="AR332" s="806"/>
      <c r="AS332" s="806"/>
      <c r="AT332" s="806"/>
      <c r="AU332" s="806"/>
      <c r="AV332" s="806"/>
      <c r="AW332" s="806"/>
      <c r="AX332" s="806"/>
      <c r="AY332" s="600"/>
    </row>
    <row r="333" spans="1:51" ht="28.9" customHeight="1" x14ac:dyDescent="0.25">
      <c r="A333" s="828"/>
      <c r="B333" s="822"/>
      <c r="C333" s="823"/>
      <c r="D333" s="578" t="s">
        <v>354</v>
      </c>
      <c r="E333" s="582"/>
      <c r="F333" s="582"/>
      <c r="G333" s="582"/>
      <c r="H333" s="582"/>
      <c r="I333" s="580"/>
      <c r="J333" s="580"/>
      <c r="K333" s="580"/>
      <c r="L333" s="580"/>
      <c r="M333" s="580">
        <f t="shared" ref="M333:R333" si="86">+M329+M331</f>
        <v>254692.30769230769</v>
      </c>
      <c r="N333" s="582">
        <f t="shared" si="86"/>
        <v>215049.87241939225</v>
      </c>
      <c r="O333" s="582">
        <f t="shared" si="86"/>
        <v>189354.57516339869</v>
      </c>
      <c r="P333" s="580">
        <f t="shared" si="86"/>
        <v>168345.74178318505</v>
      </c>
      <c r="Q333" s="580">
        <f t="shared" si="86"/>
        <v>161794.06631762654</v>
      </c>
      <c r="R333" s="580">
        <f t="shared" si="86"/>
        <v>170780.14184397162</v>
      </c>
      <c r="S333" s="580"/>
      <c r="T333" s="581"/>
      <c r="U333" s="580"/>
      <c r="V333" s="581"/>
      <c r="W333" s="580"/>
      <c r="X333" s="580"/>
      <c r="Y333" s="603">
        <f t="shared" si="84"/>
        <v>0</v>
      </c>
      <c r="Z333" s="580">
        <f t="shared" si="84"/>
        <v>254692.30769230769</v>
      </c>
      <c r="AA333" s="580">
        <f t="shared" si="84"/>
        <v>215049.87241939225</v>
      </c>
      <c r="AB333" s="574">
        <f t="shared" si="84"/>
        <v>189354.57516339869</v>
      </c>
      <c r="AC333" s="580">
        <f t="shared" si="84"/>
        <v>168345.74178318505</v>
      </c>
      <c r="AD333" s="580">
        <f t="shared" si="84"/>
        <v>161794.06631762654</v>
      </c>
      <c r="AE333" s="580">
        <f t="shared" si="84"/>
        <v>170780.14184397162</v>
      </c>
      <c r="AF333" s="823"/>
      <c r="AG333" s="829"/>
      <c r="AH333" s="823"/>
      <c r="AI333" s="823"/>
      <c r="AJ333" s="823"/>
      <c r="AK333" s="807"/>
      <c r="AL333" s="807"/>
      <c r="AM333" s="807"/>
      <c r="AN333" s="807"/>
      <c r="AO333" s="807"/>
      <c r="AP333" s="807"/>
      <c r="AQ333" s="807"/>
      <c r="AR333" s="807"/>
      <c r="AS333" s="807"/>
      <c r="AT333" s="807"/>
      <c r="AU333" s="807"/>
      <c r="AV333" s="807"/>
      <c r="AW333" s="807"/>
      <c r="AX333" s="807"/>
      <c r="AY333" s="600"/>
    </row>
    <row r="334" spans="1:51" ht="19.149999999999999" customHeight="1" x14ac:dyDescent="0.25">
      <c r="A334" s="828"/>
      <c r="B334" s="822"/>
      <c r="C334" s="821" t="s">
        <v>725</v>
      </c>
      <c r="D334" s="572" t="s">
        <v>345</v>
      </c>
      <c r="E334" s="605"/>
      <c r="F334" s="606"/>
      <c r="G334" s="606"/>
      <c r="H334" s="606"/>
      <c r="I334" s="598"/>
      <c r="J334" s="598"/>
      <c r="K334" s="603">
        <v>600</v>
      </c>
      <c r="L334" s="603">
        <v>600</v>
      </c>
      <c r="M334" s="603">
        <v>600</v>
      </c>
      <c r="N334" s="586">
        <v>600</v>
      </c>
      <c r="O334" s="607">
        <v>600</v>
      </c>
      <c r="P334" s="603">
        <v>600</v>
      </c>
      <c r="Q334" s="580">
        <v>600</v>
      </c>
      <c r="R334" s="580">
        <v>600</v>
      </c>
      <c r="S334" s="580"/>
      <c r="T334" s="581"/>
      <c r="U334" s="603">
        <v>0</v>
      </c>
      <c r="V334" s="603">
        <v>0</v>
      </c>
      <c r="W334" s="603"/>
      <c r="X334" s="603">
        <v>600</v>
      </c>
      <c r="Y334" s="603">
        <v>600</v>
      </c>
      <c r="Z334" s="580">
        <f t="shared" si="84"/>
        <v>600</v>
      </c>
      <c r="AA334" s="581">
        <f t="shared" si="84"/>
        <v>600</v>
      </c>
      <c r="AB334" s="574">
        <f t="shared" si="84"/>
        <v>600</v>
      </c>
      <c r="AC334" s="580">
        <f t="shared" si="84"/>
        <v>600</v>
      </c>
      <c r="AD334" s="580">
        <f t="shared" si="84"/>
        <v>600</v>
      </c>
      <c r="AE334" s="580">
        <f t="shared" si="84"/>
        <v>600</v>
      </c>
      <c r="AF334" s="889" t="s">
        <v>726</v>
      </c>
      <c r="AG334" s="827" t="s">
        <v>555</v>
      </c>
      <c r="AH334" s="824" t="s">
        <v>719</v>
      </c>
      <c r="AI334" s="824" t="s">
        <v>720</v>
      </c>
      <c r="AJ334" s="821" t="s">
        <v>678</v>
      </c>
      <c r="AK334" s="826" t="s">
        <v>490</v>
      </c>
      <c r="AL334" s="826" t="s">
        <v>178</v>
      </c>
      <c r="AM334" s="826" t="s">
        <v>672</v>
      </c>
      <c r="AN334" s="861">
        <v>817019</v>
      </c>
      <c r="AO334" s="861">
        <v>387428</v>
      </c>
      <c r="AP334" s="861">
        <v>429591</v>
      </c>
      <c r="AQ334" s="844" t="s">
        <v>492</v>
      </c>
      <c r="AR334" s="844" t="s">
        <v>492</v>
      </c>
      <c r="AS334" s="844" t="s">
        <v>492</v>
      </c>
      <c r="AT334" s="844" t="s">
        <v>492</v>
      </c>
      <c r="AU334" s="805" t="s">
        <v>492</v>
      </c>
      <c r="AV334" s="805" t="s">
        <v>492</v>
      </c>
      <c r="AW334" s="805" t="s">
        <v>492</v>
      </c>
      <c r="AX334" s="888">
        <v>817019</v>
      </c>
      <c r="AY334" s="600"/>
    </row>
    <row r="335" spans="1:51" ht="19.149999999999999" customHeight="1" x14ac:dyDescent="0.25">
      <c r="A335" s="828"/>
      <c r="B335" s="822"/>
      <c r="C335" s="822"/>
      <c r="D335" s="578" t="s">
        <v>349</v>
      </c>
      <c r="E335" s="605"/>
      <c r="F335" s="606"/>
      <c r="G335" s="606"/>
      <c r="H335" s="606"/>
      <c r="I335" s="598"/>
      <c r="J335" s="598"/>
      <c r="K335" s="580">
        <v>8108571.4285714282</v>
      </c>
      <c r="L335" s="580">
        <v>6481566.0685154973</v>
      </c>
      <c r="M335" s="580">
        <f>+M334*$Z$251/$Z$250</f>
        <v>5457692.307692308</v>
      </c>
      <c r="N335" s="582">
        <f>+N334*$AA$251/$AA$250</f>
        <v>4608211.55184412</v>
      </c>
      <c r="O335" s="582">
        <f>+O334*$AB$251/$AB$250</f>
        <v>4057598.0392156863</v>
      </c>
      <c r="P335" s="580">
        <f>+P334*$AC$251/$AC$250</f>
        <v>3607408.7524968223</v>
      </c>
      <c r="Q335" s="580">
        <f>+Q334*$AD$251/$AD$250</f>
        <v>3467015.7068062825</v>
      </c>
      <c r="R335" s="580">
        <f>+R334*$AE$251/$AE$250</f>
        <v>3659574.4680851065</v>
      </c>
      <c r="S335" s="580"/>
      <c r="T335" s="581"/>
      <c r="U335" s="603">
        <v>0</v>
      </c>
      <c r="V335" s="603">
        <v>0</v>
      </c>
      <c r="W335" s="603"/>
      <c r="X335" s="603">
        <v>8108571.4285714282</v>
      </c>
      <c r="Y335" s="603">
        <v>6481566.0685154973</v>
      </c>
      <c r="Z335" s="580">
        <f t="shared" si="84"/>
        <v>5457692.307692308</v>
      </c>
      <c r="AA335" s="580">
        <f t="shared" si="84"/>
        <v>4608211.55184412</v>
      </c>
      <c r="AB335" s="574">
        <f t="shared" si="84"/>
        <v>4057598.0392156863</v>
      </c>
      <c r="AC335" s="580">
        <f t="shared" si="84"/>
        <v>3607408.7524968223</v>
      </c>
      <c r="AD335" s="580">
        <f t="shared" si="84"/>
        <v>3467015.7068062825</v>
      </c>
      <c r="AE335" s="580">
        <f t="shared" si="84"/>
        <v>3659574.4680851065</v>
      </c>
      <c r="AF335" s="838"/>
      <c r="AG335" s="828"/>
      <c r="AH335" s="822"/>
      <c r="AI335" s="822"/>
      <c r="AJ335" s="822"/>
      <c r="AK335" s="806"/>
      <c r="AL335" s="806"/>
      <c r="AM335" s="806"/>
      <c r="AN335" s="806"/>
      <c r="AO335" s="806"/>
      <c r="AP335" s="806"/>
      <c r="AQ335" s="806"/>
      <c r="AR335" s="806"/>
      <c r="AS335" s="806"/>
      <c r="AT335" s="806"/>
      <c r="AU335" s="806"/>
      <c r="AV335" s="806"/>
      <c r="AW335" s="806"/>
      <c r="AX335" s="806"/>
      <c r="AY335" s="600"/>
    </row>
    <row r="336" spans="1:51" ht="28.9" customHeight="1" x14ac:dyDescent="0.25">
      <c r="A336" s="828"/>
      <c r="B336" s="822"/>
      <c r="C336" s="822"/>
      <c r="D336" s="579" t="s">
        <v>351</v>
      </c>
      <c r="E336" s="605"/>
      <c r="F336" s="606"/>
      <c r="G336" s="606"/>
      <c r="H336" s="606"/>
      <c r="I336" s="598"/>
      <c r="J336" s="598"/>
      <c r="K336" s="603"/>
      <c r="L336" s="603"/>
      <c r="M336" s="603"/>
      <c r="N336" s="586"/>
      <c r="O336" s="607"/>
      <c r="P336" s="603"/>
      <c r="Q336" s="580"/>
      <c r="R336" s="580"/>
      <c r="S336" s="580"/>
      <c r="T336" s="581"/>
      <c r="U336" s="603">
        <v>0</v>
      </c>
      <c r="V336" s="603">
        <v>0</v>
      </c>
      <c r="W336" s="603"/>
      <c r="X336" s="603">
        <v>0</v>
      </c>
      <c r="Y336" s="603">
        <v>0</v>
      </c>
      <c r="Z336" s="580">
        <f t="shared" si="84"/>
        <v>0</v>
      </c>
      <c r="AA336" s="581">
        <f t="shared" si="84"/>
        <v>0</v>
      </c>
      <c r="AB336" s="574">
        <f t="shared" si="84"/>
        <v>0</v>
      </c>
      <c r="AC336" s="580">
        <f t="shared" si="84"/>
        <v>0</v>
      </c>
      <c r="AD336" s="580">
        <f t="shared" si="84"/>
        <v>0</v>
      </c>
      <c r="AE336" s="580">
        <f t="shared" si="84"/>
        <v>0</v>
      </c>
      <c r="AF336" s="838"/>
      <c r="AG336" s="828"/>
      <c r="AH336" s="822"/>
      <c r="AI336" s="822"/>
      <c r="AJ336" s="822"/>
      <c r="AK336" s="806"/>
      <c r="AL336" s="806"/>
      <c r="AM336" s="806"/>
      <c r="AN336" s="806"/>
      <c r="AO336" s="806"/>
      <c r="AP336" s="806"/>
      <c r="AQ336" s="806"/>
      <c r="AR336" s="806"/>
      <c r="AS336" s="806"/>
      <c r="AT336" s="806"/>
      <c r="AU336" s="806"/>
      <c r="AV336" s="806"/>
      <c r="AW336" s="806"/>
      <c r="AX336" s="806"/>
      <c r="AY336" s="600"/>
    </row>
    <row r="337" spans="1:51" ht="28.9" customHeight="1" x14ac:dyDescent="0.25">
      <c r="A337" s="828"/>
      <c r="B337" s="822"/>
      <c r="C337" s="822"/>
      <c r="D337" s="578" t="s">
        <v>352</v>
      </c>
      <c r="E337" s="605"/>
      <c r="F337" s="606"/>
      <c r="G337" s="606"/>
      <c r="H337" s="606"/>
      <c r="I337" s="598"/>
      <c r="J337" s="598"/>
      <c r="K337" s="608"/>
      <c r="L337" s="608"/>
      <c r="M337" s="608"/>
      <c r="N337" s="607"/>
      <c r="O337" s="607"/>
      <c r="P337" s="608"/>
      <c r="Q337" s="580"/>
      <c r="R337" s="580"/>
      <c r="S337" s="580"/>
      <c r="T337" s="581"/>
      <c r="U337" s="603">
        <v>0</v>
      </c>
      <c r="V337" s="603">
        <v>0</v>
      </c>
      <c r="W337" s="603"/>
      <c r="X337" s="603">
        <v>0</v>
      </c>
      <c r="Y337" s="603">
        <v>0</v>
      </c>
      <c r="Z337" s="580">
        <f t="shared" si="84"/>
        <v>0</v>
      </c>
      <c r="AA337" s="574">
        <f t="shared" si="84"/>
        <v>0</v>
      </c>
      <c r="AB337" s="574">
        <f t="shared" si="84"/>
        <v>0</v>
      </c>
      <c r="AC337" s="580">
        <f t="shared" si="84"/>
        <v>0</v>
      </c>
      <c r="AD337" s="580">
        <f t="shared" si="84"/>
        <v>0</v>
      </c>
      <c r="AE337" s="580">
        <f t="shared" si="84"/>
        <v>0</v>
      </c>
      <c r="AF337" s="838"/>
      <c r="AG337" s="828"/>
      <c r="AH337" s="822"/>
      <c r="AI337" s="822"/>
      <c r="AJ337" s="822"/>
      <c r="AK337" s="806"/>
      <c r="AL337" s="806"/>
      <c r="AM337" s="806"/>
      <c r="AN337" s="806"/>
      <c r="AO337" s="806"/>
      <c r="AP337" s="806"/>
      <c r="AQ337" s="806"/>
      <c r="AR337" s="806"/>
      <c r="AS337" s="806"/>
      <c r="AT337" s="806"/>
      <c r="AU337" s="806"/>
      <c r="AV337" s="806"/>
      <c r="AW337" s="806"/>
      <c r="AX337" s="806"/>
      <c r="AY337" s="600"/>
    </row>
    <row r="338" spans="1:51" ht="28.9" customHeight="1" x14ac:dyDescent="0.25">
      <c r="A338" s="828"/>
      <c r="B338" s="822"/>
      <c r="C338" s="822"/>
      <c r="D338" s="579" t="s">
        <v>353</v>
      </c>
      <c r="E338" s="605"/>
      <c r="F338" s="606"/>
      <c r="G338" s="606"/>
      <c r="H338" s="606"/>
      <c r="I338" s="598"/>
      <c r="J338" s="598"/>
      <c r="K338" s="603">
        <v>600</v>
      </c>
      <c r="L338" s="603">
        <v>600</v>
      </c>
      <c r="M338" s="603">
        <v>600</v>
      </c>
      <c r="N338" s="609">
        <v>600</v>
      </c>
      <c r="O338" s="609">
        <v>600</v>
      </c>
      <c r="P338" s="603">
        <v>600</v>
      </c>
      <c r="Q338" s="603">
        <v>600</v>
      </c>
      <c r="R338" s="603">
        <v>600</v>
      </c>
      <c r="S338" s="603"/>
      <c r="T338" s="581"/>
      <c r="U338" s="603">
        <v>0</v>
      </c>
      <c r="V338" s="603">
        <v>0</v>
      </c>
      <c r="W338" s="603"/>
      <c r="X338" s="603">
        <v>600</v>
      </c>
      <c r="Y338" s="603">
        <v>600</v>
      </c>
      <c r="Z338" s="580">
        <f t="shared" ref="Z338:AE353" si="87">+M338</f>
        <v>600</v>
      </c>
      <c r="AA338" s="580">
        <f t="shared" si="87"/>
        <v>600</v>
      </c>
      <c r="AB338" s="574">
        <f t="shared" si="87"/>
        <v>600</v>
      </c>
      <c r="AC338" s="580">
        <f t="shared" si="87"/>
        <v>600</v>
      </c>
      <c r="AD338" s="580">
        <f t="shared" si="87"/>
        <v>600</v>
      </c>
      <c r="AE338" s="603">
        <f t="shared" si="87"/>
        <v>600</v>
      </c>
      <c r="AF338" s="838"/>
      <c r="AG338" s="828"/>
      <c r="AH338" s="822"/>
      <c r="AI338" s="822"/>
      <c r="AJ338" s="822"/>
      <c r="AK338" s="806"/>
      <c r="AL338" s="806"/>
      <c r="AM338" s="806"/>
      <c r="AN338" s="806"/>
      <c r="AO338" s="806"/>
      <c r="AP338" s="806"/>
      <c r="AQ338" s="806"/>
      <c r="AR338" s="806"/>
      <c r="AS338" s="806"/>
      <c r="AT338" s="806"/>
      <c r="AU338" s="806"/>
      <c r="AV338" s="806"/>
      <c r="AW338" s="806"/>
      <c r="AX338" s="806"/>
      <c r="AY338" s="600"/>
    </row>
    <row r="339" spans="1:51" ht="28.9" customHeight="1" x14ac:dyDescent="0.25">
      <c r="A339" s="828"/>
      <c r="B339" s="822"/>
      <c r="C339" s="823"/>
      <c r="D339" s="578" t="s">
        <v>354</v>
      </c>
      <c r="E339" s="605"/>
      <c r="F339" s="606"/>
      <c r="G339" s="606"/>
      <c r="H339" s="606"/>
      <c r="I339" s="598"/>
      <c r="J339" s="598"/>
      <c r="K339" s="580">
        <v>8108571.4285714282</v>
      </c>
      <c r="L339" s="580">
        <v>6481566.0685154973</v>
      </c>
      <c r="M339" s="580">
        <f t="shared" ref="M339:R339" si="88">+M335+M337</f>
        <v>5457692.307692308</v>
      </c>
      <c r="N339" s="582">
        <f t="shared" si="88"/>
        <v>4608211.55184412</v>
      </c>
      <c r="O339" s="582">
        <f t="shared" si="88"/>
        <v>4057598.0392156863</v>
      </c>
      <c r="P339" s="580">
        <f t="shared" si="88"/>
        <v>3607408.7524968223</v>
      </c>
      <c r="Q339" s="580">
        <f t="shared" si="88"/>
        <v>3467015.7068062825</v>
      </c>
      <c r="R339" s="580">
        <f t="shared" si="88"/>
        <v>3659574.4680851065</v>
      </c>
      <c r="S339" s="580"/>
      <c r="T339" s="581"/>
      <c r="U339" s="603">
        <v>0</v>
      </c>
      <c r="V339" s="603">
        <v>0</v>
      </c>
      <c r="W339" s="603"/>
      <c r="X339" s="603">
        <v>8108571.4285714282</v>
      </c>
      <c r="Y339" s="603">
        <v>6481566.0685154973</v>
      </c>
      <c r="Z339" s="580">
        <f t="shared" si="87"/>
        <v>5457692.307692308</v>
      </c>
      <c r="AA339" s="580">
        <f t="shared" si="87"/>
        <v>4608211.55184412</v>
      </c>
      <c r="AB339" s="574">
        <f t="shared" si="87"/>
        <v>4057598.0392156863</v>
      </c>
      <c r="AC339" s="580">
        <f t="shared" si="87"/>
        <v>3607408.7524968223</v>
      </c>
      <c r="AD339" s="580">
        <f t="shared" si="87"/>
        <v>3467015.7068062825</v>
      </c>
      <c r="AE339" s="580">
        <f t="shared" si="87"/>
        <v>3659574.4680851065</v>
      </c>
      <c r="AF339" s="838"/>
      <c r="AG339" s="829"/>
      <c r="AH339" s="823"/>
      <c r="AI339" s="823"/>
      <c r="AJ339" s="823"/>
      <c r="AK339" s="807"/>
      <c r="AL339" s="807"/>
      <c r="AM339" s="807"/>
      <c r="AN339" s="807"/>
      <c r="AO339" s="807"/>
      <c r="AP339" s="807"/>
      <c r="AQ339" s="807"/>
      <c r="AR339" s="807"/>
      <c r="AS339" s="807"/>
      <c r="AT339" s="807"/>
      <c r="AU339" s="807"/>
      <c r="AV339" s="807"/>
      <c r="AW339" s="807"/>
      <c r="AX339" s="807"/>
      <c r="AY339" s="600"/>
    </row>
    <row r="340" spans="1:51" ht="19.149999999999999" customHeight="1" x14ac:dyDescent="0.25">
      <c r="A340" s="828"/>
      <c r="B340" s="822"/>
      <c r="C340" s="821" t="s">
        <v>727</v>
      </c>
      <c r="D340" s="572" t="s">
        <v>345</v>
      </c>
      <c r="E340" s="582"/>
      <c r="F340" s="582"/>
      <c r="G340" s="582"/>
      <c r="H340" s="582"/>
      <c r="I340" s="580"/>
      <c r="J340" s="580">
        <v>600</v>
      </c>
      <c r="K340" s="580">
        <v>600</v>
      </c>
      <c r="L340" s="580">
        <v>600</v>
      </c>
      <c r="M340" s="580">
        <v>600</v>
      </c>
      <c r="N340" s="586">
        <v>600</v>
      </c>
      <c r="O340" s="573">
        <v>600</v>
      </c>
      <c r="P340" s="580">
        <v>600</v>
      </c>
      <c r="Q340" s="580">
        <v>600</v>
      </c>
      <c r="R340" s="580">
        <v>600</v>
      </c>
      <c r="S340" s="580"/>
      <c r="T340" s="581"/>
      <c r="U340" s="580">
        <v>0</v>
      </c>
      <c r="V340" s="580">
        <v>0</v>
      </c>
      <c r="W340" s="580">
        <v>600</v>
      </c>
      <c r="X340" s="580">
        <v>600</v>
      </c>
      <c r="Y340" s="603">
        <v>600</v>
      </c>
      <c r="Z340" s="580">
        <f t="shared" si="87"/>
        <v>600</v>
      </c>
      <c r="AA340" s="581">
        <f t="shared" si="87"/>
        <v>600</v>
      </c>
      <c r="AB340" s="574">
        <f t="shared" si="87"/>
        <v>600</v>
      </c>
      <c r="AC340" s="580">
        <f t="shared" si="87"/>
        <v>600</v>
      </c>
      <c r="AD340" s="580">
        <f t="shared" si="87"/>
        <v>600</v>
      </c>
      <c r="AE340" s="580">
        <f t="shared" si="87"/>
        <v>600</v>
      </c>
      <c r="AF340" s="887" t="s">
        <v>728</v>
      </c>
      <c r="AG340" s="827" t="s">
        <v>555</v>
      </c>
      <c r="AH340" s="824" t="s">
        <v>719</v>
      </c>
      <c r="AI340" s="824" t="s">
        <v>720</v>
      </c>
      <c r="AJ340" s="821" t="s">
        <v>678</v>
      </c>
      <c r="AK340" s="826" t="s">
        <v>490</v>
      </c>
      <c r="AL340" s="826" t="s">
        <v>178</v>
      </c>
      <c r="AM340" s="826" t="s">
        <v>672</v>
      </c>
      <c r="AN340" s="820">
        <v>817019</v>
      </c>
      <c r="AO340" s="820">
        <v>387428</v>
      </c>
      <c r="AP340" s="820">
        <v>429591</v>
      </c>
      <c r="AQ340" s="844" t="s">
        <v>492</v>
      </c>
      <c r="AR340" s="844" t="s">
        <v>492</v>
      </c>
      <c r="AS340" s="844" t="s">
        <v>492</v>
      </c>
      <c r="AT340" s="844" t="s">
        <v>492</v>
      </c>
      <c r="AU340" s="805" t="s">
        <v>492</v>
      </c>
      <c r="AV340" s="805" t="s">
        <v>492</v>
      </c>
      <c r="AW340" s="805" t="s">
        <v>492</v>
      </c>
      <c r="AX340" s="808">
        <v>817019</v>
      </c>
      <c r="AY340" s="600"/>
    </row>
    <row r="341" spans="1:51" ht="19.149999999999999" customHeight="1" x14ac:dyDescent="0.25">
      <c r="A341" s="828"/>
      <c r="B341" s="822"/>
      <c r="C341" s="822"/>
      <c r="D341" s="578" t="s">
        <v>349</v>
      </c>
      <c r="E341" s="582"/>
      <c r="F341" s="582"/>
      <c r="G341" s="582"/>
      <c r="H341" s="582"/>
      <c r="I341" s="580"/>
      <c r="J341" s="580">
        <v>10738378.378378378</v>
      </c>
      <c r="K341" s="580">
        <v>8108571.4285714282</v>
      </c>
      <c r="L341" s="580">
        <v>6481566.0685154973</v>
      </c>
      <c r="M341" s="580">
        <f>+M340*$Z$251/$Z$250</f>
        <v>5457692.307692308</v>
      </c>
      <c r="N341" s="582">
        <f>+N340*$AA$251/$AA$250</f>
        <v>4608211.55184412</v>
      </c>
      <c r="O341" s="582">
        <f>+O340*$AB$251/$AB$250</f>
        <v>4057598.0392156863</v>
      </c>
      <c r="P341" s="580">
        <f>+P340*$AC$251/$AC$250</f>
        <v>3607408.7524968223</v>
      </c>
      <c r="Q341" s="580">
        <f>+Q340*$AD$251/$AD$250</f>
        <v>3467015.7068062825</v>
      </c>
      <c r="R341" s="580">
        <f>+R340*$AE$251/$AE$250</f>
        <v>3659574.4680851065</v>
      </c>
      <c r="S341" s="580"/>
      <c r="T341" s="581"/>
      <c r="U341" s="580">
        <v>0</v>
      </c>
      <c r="V341" s="580">
        <v>0</v>
      </c>
      <c r="W341" s="580">
        <v>10738378.378378378</v>
      </c>
      <c r="X341" s="580">
        <v>8108571.4285714282</v>
      </c>
      <c r="Y341" s="603">
        <v>6481566.0685154973</v>
      </c>
      <c r="Z341" s="580">
        <f t="shared" si="87"/>
        <v>5457692.307692308</v>
      </c>
      <c r="AA341" s="580">
        <f t="shared" si="87"/>
        <v>4608211.55184412</v>
      </c>
      <c r="AB341" s="574">
        <f t="shared" si="87"/>
        <v>4057598.0392156863</v>
      </c>
      <c r="AC341" s="580">
        <f t="shared" si="87"/>
        <v>3607408.7524968223</v>
      </c>
      <c r="AD341" s="580">
        <f t="shared" si="87"/>
        <v>3467015.7068062825</v>
      </c>
      <c r="AE341" s="580">
        <f t="shared" si="87"/>
        <v>3659574.4680851065</v>
      </c>
      <c r="AF341" s="822"/>
      <c r="AG341" s="828"/>
      <c r="AH341" s="822"/>
      <c r="AI341" s="822"/>
      <c r="AJ341" s="822"/>
      <c r="AK341" s="806"/>
      <c r="AL341" s="806"/>
      <c r="AM341" s="806"/>
      <c r="AN341" s="806"/>
      <c r="AO341" s="806"/>
      <c r="AP341" s="806"/>
      <c r="AQ341" s="806"/>
      <c r="AR341" s="806"/>
      <c r="AS341" s="806"/>
      <c r="AT341" s="806"/>
      <c r="AU341" s="806"/>
      <c r="AV341" s="806"/>
      <c r="AW341" s="806"/>
      <c r="AX341" s="806"/>
      <c r="AY341" s="600"/>
    </row>
    <row r="342" spans="1:51" ht="28.9" customHeight="1" x14ac:dyDescent="0.25">
      <c r="A342" s="828"/>
      <c r="B342" s="822"/>
      <c r="C342" s="822"/>
      <c r="D342" s="579" t="s">
        <v>351</v>
      </c>
      <c r="E342" s="582"/>
      <c r="F342" s="582"/>
      <c r="G342" s="582"/>
      <c r="H342" s="582"/>
      <c r="I342" s="580"/>
      <c r="J342" s="580"/>
      <c r="K342" s="580"/>
      <c r="L342" s="580"/>
      <c r="M342" s="580"/>
      <c r="N342" s="586"/>
      <c r="O342" s="573"/>
      <c r="P342" s="580"/>
      <c r="Q342" s="580"/>
      <c r="R342" s="580"/>
      <c r="S342" s="580"/>
      <c r="T342" s="581"/>
      <c r="U342" s="580">
        <v>0</v>
      </c>
      <c r="V342" s="580">
        <v>0</v>
      </c>
      <c r="W342" s="580">
        <v>0</v>
      </c>
      <c r="X342" s="580">
        <v>0</v>
      </c>
      <c r="Y342" s="603">
        <v>0</v>
      </c>
      <c r="Z342" s="580">
        <f t="shared" si="87"/>
        <v>0</v>
      </c>
      <c r="AA342" s="581">
        <f t="shared" si="87"/>
        <v>0</v>
      </c>
      <c r="AB342" s="574">
        <f t="shared" si="87"/>
        <v>0</v>
      </c>
      <c r="AC342" s="580">
        <f t="shared" si="87"/>
        <v>0</v>
      </c>
      <c r="AD342" s="580">
        <f t="shared" si="87"/>
        <v>0</v>
      </c>
      <c r="AE342" s="580">
        <f t="shared" si="87"/>
        <v>0</v>
      </c>
      <c r="AF342" s="822"/>
      <c r="AG342" s="828"/>
      <c r="AH342" s="822"/>
      <c r="AI342" s="822"/>
      <c r="AJ342" s="822"/>
      <c r="AK342" s="806"/>
      <c r="AL342" s="806"/>
      <c r="AM342" s="806"/>
      <c r="AN342" s="806"/>
      <c r="AO342" s="806"/>
      <c r="AP342" s="806"/>
      <c r="AQ342" s="806"/>
      <c r="AR342" s="806"/>
      <c r="AS342" s="806"/>
      <c r="AT342" s="806"/>
      <c r="AU342" s="806"/>
      <c r="AV342" s="806"/>
      <c r="AW342" s="806"/>
      <c r="AX342" s="806"/>
      <c r="AY342" s="600"/>
    </row>
    <row r="343" spans="1:51" ht="28.9" customHeight="1" x14ac:dyDescent="0.25">
      <c r="A343" s="828"/>
      <c r="B343" s="822"/>
      <c r="C343" s="822"/>
      <c r="D343" s="578" t="s">
        <v>352</v>
      </c>
      <c r="E343" s="582"/>
      <c r="F343" s="582"/>
      <c r="G343" s="582"/>
      <c r="H343" s="582"/>
      <c r="I343" s="580"/>
      <c r="J343" s="580">
        <v>821111</v>
      </c>
      <c r="K343" s="580">
        <v>821111</v>
      </c>
      <c r="L343" s="580">
        <v>821111</v>
      </c>
      <c r="M343" s="580">
        <v>821111</v>
      </c>
      <c r="N343" s="582">
        <v>821111</v>
      </c>
      <c r="O343" s="582">
        <v>821111</v>
      </c>
      <c r="P343" s="580">
        <v>821111</v>
      </c>
      <c r="Q343" s="580">
        <v>821111</v>
      </c>
      <c r="R343" s="580">
        <v>821111</v>
      </c>
      <c r="S343" s="580"/>
      <c r="T343" s="581"/>
      <c r="U343" s="580">
        <v>0</v>
      </c>
      <c r="V343" s="580">
        <v>0</v>
      </c>
      <c r="W343" s="580">
        <v>821111</v>
      </c>
      <c r="X343" s="580">
        <v>821111</v>
      </c>
      <c r="Y343" s="603">
        <v>821111</v>
      </c>
      <c r="Z343" s="580">
        <f t="shared" si="87"/>
        <v>821111</v>
      </c>
      <c r="AA343" s="580">
        <f t="shared" si="87"/>
        <v>821111</v>
      </c>
      <c r="AB343" s="574">
        <f t="shared" si="87"/>
        <v>821111</v>
      </c>
      <c r="AC343" s="580">
        <f t="shared" si="87"/>
        <v>821111</v>
      </c>
      <c r="AD343" s="580">
        <f t="shared" si="87"/>
        <v>821111</v>
      </c>
      <c r="AE343" s="580">
        <f t="shared" si="87"/>
        <v>821111</v>
      </c>
      <c r="AF343" s="822"/>
      <c r="AG343" s="828"/>
      <c r="AH343" s="822"/>
      <c r="AI343" s="822"/>
      <c r="AJ343" s="822"/>
      <c r="AK343" s="806"/>
      <c r="AL343" s="806"/>
      <c r="AM343" s="806"/>
      <c r="AN343" s="806"/>
      <c r="AO343" s="806"/>
      <c r="AP343" s="806"/>
      <c r="AQ343" s="806"/>
      <c r="AR343" s="806"/>
      <c r="AS343" s="806"/>
      <c r="AT343" s="806"/>
      <c r="AU343" s="806"/>
      <c r="AV343" s="806"/>
      <c r="AW343" s="806"/>
      <c r="AX343" s="806"/>
      <c r="AY343" s="600"/>
    </row>
    <row r="344" spans="1:51" ht="28.9" customHeight="1" x14ac:dyDescent="0.25">
      <c r="A344" s="828"/>
      <c r="B344" s="822"/>
      <c r="C344" s="822"/>
      <c r="D344" s="579" t="s">
        <v>353</v>
      </c>
      <c r="E344" s="582"/>
      <c r="F344" s="582"/>
      <c r="G344" s="582"/>
      <c r="H344" s="582"/>
      <c r="I344" s="580"/>
      <c r="J344" s="580">
        <v>600</v>
      </c>
      <c r="K344" s="580">
        <v>600</v>
      </c>
      <c r="L344" s="580">
        <v>600</v>
      </c>
      <c r="M344" s="580">
        <v>600</v>
      </c>
      <c r="N344" s="582">
        <v>600</v>
      </c>
      <c r="O344" s="582">
        <v>600</v>
      </c>
      <c r="P344" s="580">
        <v>600</v>
      </c>
      <c r="Q344" s="580">
        <v>600</v>
      </c>
      <c r="R344" s="580">
        <v>600</v>
      </c>
      <c r="S344" s="580"/>
      <c r="T344" s="581"/>
      <c r="U344" s="580">
        <v>0</v>
      </c>
      <c r="V344" s="580">
        <v>0</v>
      </c>
      <c r="W344" s="580">
        <v>600</v>
      </c>
      <c r="X344" s="580">
        <v>600</v>
      </c>
      <c r="Y344" s="603">
        <v>600</v>
      </c>
      <c r="Z344" s="580">
        <f t="shared" si="87"/>
        <v>600</v>
      </c>
      <c r="AA344" s="580">
        <f t="shared" si="87"/>
        <v>600</v>
      </c>
      <c r="AB344" s="574">
        <f t="shared" si="87"/>
        <v>600</v>
      </c>
      <c r="AC344" s="580">
        <f t="shared" si="87"/>
        <v>600</v>
      </c>
      <c r="AD344" s="580">
        <f t="shared" si="87"/>
        <v>600</v>
      </c>
      <c r="AE344" s="580">
        <f t="shared" si="87"/>
        <v>600</v>
      </c>
      <c r="AF344" s="822"/>
      <c r="AG344" s="828"/>
      <c r="AH344" s="822"/>
      <c r="AI344" s="822"/>
      <c r="AJ344" s="822"/>
      <c r="AK344" s="806"/>
      <c r="AL344" s="806"/>
      <c r="AM344" s="806"/>
      <c r="AN344" s="806"/>
      <c r="AO344" s="806"/>
      <c r="AP344" s="806"/>
      <c r="AQ344" s="806"/>
      <c r="AR344" s="806"/>
      <c r="AS344" s="806"/>
      <c r="AT344" s="806"/>
      <c r="AU344" s="806"/>
      <c r="AV344" s="806"/>
      <c r="AW344" s="806"/>
      <c r="AX344" s="806"/>
      <c r="AY344" s="600"/>
    </row>
    <row r="345" spans="1:51" ht="28.9" customHeight="1" x14ac:dyDescent="0.25">
      <c r="A345" s="828"/>
      <c r="B345" s="822"/>
      <c r="C345" s="823"/>
      <c r="D345" s="578" t="s">
        <v>354</v>
      </c>
      <c r="E345" s="582"/>
      <c r="F345" s="582"/>
      <c r="G345" s="582"/>
      <c r="H345" s="582"/>
      <c r="I345" s="580"/>
      <c r="J345" s="580">
        <v>11559489.378378378</v>
      </c>
      <c r="K345" s="580">
        <v>8929682.4285714291</v>
      </c>
      <c r="L345" s="580">
        <v>7302677.0685154973</v>
      </c>
      <c r="M345" s="580">
        <f t="shared" ref="M345:R345" si="89">+M341+M343</f>
        <v>6278803.307692308</v>
      </c>
      <c r="N345" s="582">
        <f t="shared" si="89"/>
        <v>5429322.55184412</v>
      </c>
      <c r="O345" s="582">
        <f t="shared" si="89"/>
        <v>4878709.0392156858</v>
      </c>
      <c r="P345" s="580">
        <f t="shared" si="89"/>
        <v>4428519.7524968218</v>
      </c>
      <c r="Q345" s="580">
        <f t="shared" si="89"/>
        <v>4288126.7068062825</v>
      </c>
      <c r="R345" s="580">
        <f t="shared" si="89"/>
        <v>4480685.4680851065</v>
      </c>
      <c r="S345" s="580"/>
      <c r="T345" s="581"/>
      <c r="U345" s="580">
        <v>0</v>
      </c>
      <c r="V345" s="580">
        <v>0</v>
      </c>
      <c r="W345" s="580">
        <v>11559489.378378378</v>
      </c>
      <c r="X345" s="580">
        <v>8929682.4285714291</v>
      </c>
      <c r="Y345" s="603">
        <v>7302677.0685154973</v>
      </c>
      <c r="Z345" s="580">
        <f t="shared" si="87"/>
        <v>6278803.307692308</v>
      </c>
      <c r="AA345" s="580">
        <f t="shared" si="87"/>
        <v>5429322.55184412</v>
      </c>
      <c r="AB345" s="574">
        <f t="shared" si="87"/>
        <v>4878709.0392156858</v>
      </c>
      <c r="AC345" s="580">
        <f t="shared" si="87"/>
        <v>4428519.7524968218</v>
      </c>
      <c r="AD345" s="580">
        <f t="shared" si="87"/>
        <v>4288126.7068062825</v>
      </c>
      <c r="AE345" s="580">
        <f t="shared" si="87"/>
        <v>4480685.4680851065</v>
      </c>
      <c r="AF345" s="823"/>
      <c r="AG345" s="829"/>
      <c r="AH345" s="823"/>
      <c r="AI345" s="823"/>
      <c r="AJ345" s="823"/>
      <c r="AK345" s="807"/>
      <c r="AL345" s="807"/>
      <c r="AM345" s="807"/>
      <c r="AN345" s="807"/>
      <c r="AO345" s="807"/>
      <c r="AP345" s="807"/>
      <c r="AQ345" s="807"/>
      <c r="AR345" s="807"/>
      <c r="AS345" s="807"/>
      <c r="AT345" s="807"/>
      <c r="AU345" s="807"/>
      <c r="AV345" s="807"/>
      <c r="AW345" s="807"/>
      <c r="AX345" s="807"/>
      <c r="AY345" s="600"/>
    </row>
    <row r="346" spans="1:51" ht="19.149999999999999" customHeight="1" x14ac:dyDescent="0.25">
      <c r="A346" s="828"/>
      <c r="B346" s="822"/>
      <c r="C346" s="821" t="s">
        <v>729</v>
      </c>
      <c r="D346" s="572" t="s">
        <v>345</v>
      </c>
      <c r="E346" s="582"/>
      <c r="F346" s="582"/>
      <c r="G346" s="582"/>
      <c r="H346" s="582"/>
      <c r="I346" s="580">
        <v>650</v>
      </c>
      <c r="J346" s="580">
        <v>650</v>
      </c>
      <c r="K346" s="580">
        <v>650</v>
      </c>
      <c r="L346" s="580">
        <v>650</v>
      </c>
      <c r="M346" s="580">
        <v>650</v>
      </c>
      <c r="N346" s="586">
        <v>650</v>
      </c>
      <c r="O346" s="573">
        <v>650</v>
      </c>
      <c r="P346" s="580">
        <v>650</v>
      </c>
      <c r="Q346" s="580">
        <v>650</v>
      </c>
      <c r="R346" s="580">
        <v>650</v>
      </c>
      <c r="S346" s="580"/>
      <c r="T346" s="581"/>
      <c r="U346" s="580">
        <v>0</v>
      </c>
      <c r="V346" s="580">
        <v>650</v>
      </c>
      <c r="W346" s="580">
        <v>650</v>
      </c>
      <c r="X346" s="580">
        <v>650</v>
      </c>
      <c r="Y346" s="603">
        <v>650</v>
      </c>
      <c r="Z346" s="580">
        <f t="shared" si="87"/>
        <v>650</v>
      </c>
      <c r="AA346" s="581">
        <f t="shared" si="87"/>
        <v>650</v>
      </c>
      <c r="AB346" s="574">
        <f t="shared" si="87"/>
        <v>650</v>
      </c>
      <c r="AC346" s="580">
        <f t="shared" si="87"/>
        <v>650</v>
      </c>
      <c r="AD346" s="580">
        <f t="shared" si="87"/>
        <v>650</v>
      </c>
      <c r="AE346" s="580">
        <f t="shared" si="87"/>
        <v>650</v>
      </c>
      <c r="AF346" s="887" t="s">
        <v>730</v>
      </c>
      <c r="AG346" s="827" t="s">
        <v>555</v>
      </c>
      <c r="AH346" s="824" t="s">
        <v>719</v>
      </c>
      <c r="AI346" s="824" t="s">
        <v>720</v>
      </c>
      <c r="AJ346" s="821" t="s">
        <v>678</v>
      </c>
      <c r="AK346" s="826" t="s">
        <v>490</v>
      </c>
      <c r="AL346" s="826" t="s">
        <v>178</v>
      </c>
      <c r="AM346" s="826" t="s">
        <v>672</v>
      </c>
      <c r="AN346" s="820">
        <v>817019</v>
      </c>
      <c r="AO346" s="820">
        <v>387428</v>
      </c>
      <c r="AP346" s="820">
        <v>429591</v>
      </c>
      <c r="AQ346" s="844" t="s">
        <v>492</v>
      </c>
      <c r="AR346" s="844" t="s">
        <v>492</v>
      </c>
      <c r="AS346" s="844" t="s">
        <v>492</v>
      </c>
      <c r="AT346" s="844" t="s">
        <v>492</v>
      </c>
      <c r="AU346" s="805" t="s">
        <v>492</v>
      </c>
      <c r="AV346" s="805" t="s">
        <v>492</v>
      </c>
      <c r="AW346" s="805" t="s">
        <v>492</v>
      </c>
      <c r="AX346" s="808">
        <v>817019</v>
      </c>
      <c r="AY346" s="600"/>
    </row>
    <row r="347" spans="1:51" ht="19.149999999999999" customHeight="1" x14ac:dyDescent="0.25">
      <c r="A347" s="828"/>
      <c r="B347" s="822"/>
      <c r="C347" s="822"/>
      <c r="D347" s="578" t="s">
        <v>349</v>
      </c>
      <c r="E347" s="582"/>
      <c r="F347" s="582"/>
      <c r="G347" s="582"/>
      <c r="H347" s="582"/>
      <c r="I347" s="580">
        <v>17217200</v>
      </c>
      <c r="J347" s="580">
        <v>11633243.243243244</v>
      </c>
      <c r="K347" s="580">
        <v>8784285.7142857146</v>
      </c>
      <c r="L347" s="580">
        <v>7021696.5742251221</v>
      </c>
      <c r="M347" s="580">
        <f>+M346*$Z$251/$Z$250</f>
        <v>5912500</v>
      </c>
      <c r="N347" s="582">
        <f>+N346*$AA$251/$AA$250</f>
        <v>4992229.1811644631</v>
      </c>
      <c r="O347" s="582">
        <f>+O346*$AB$251/$AB$250</f>
        <v>4395731.2091503264</v>
      </c>
      <c r="P347" s="580">
        <f>+P346*$AC$251/$AC$250</f>
        <v>3908026.1485382239</v>
      </c>
      <c r="Q347" s="580">
        <f>+Q346*$AD$251/$AD$250</f>
        <v>3755933.682373473</v>
      </c>
      <c r="R347" s="580">
        <f>+R346*$AE$251/$AE$250</f>
        <v>3964539.0070921984</v>
      </c>
      <c r="S347" s="580"/>
      <c r="T347" s="581"/>
      <c r="U347" s="580">
        <v>0</v>
      </c>
      <c r="V347" s="580">
        <v>17217200</v>
      </c>
      <c r="W347" s="580">
        <v>11633243.243243244</v>
      </c>
      <c r="X347" s="580">
        <v>8784285.7142857146</v>
      </c>
      <c r="Y347" s="603">
        <v>7021696.5742251221</v>
      </c>
      <c r="Z347" s="580">
        <f t="shared" si="87"/>
        <v>5912500</v>
      </c>
      <c r="AA347" s="580">
        <f t="shared" si="87"/>
        <v>4992229.1811644631</v>
      </c>
      <c r="AB347" s="574">
        <f t="shared" si="87"/>
        <v>4395731.2091503264</v>
      </c>
      <c r="AC347" s="580">
        <f t="shared" si="87"/>
        <v>3908026.1485382239</v>
      </c>
      <c r="AD347" s="580">
        <f t="shared" si="87"/>
        <v>3755933.682373473</v>
      </c>
      <c r="AE347" s="580">
        <f t="shared" si="87"/>
        <v>3964539.0070921984</v>
      </c>
      <c r="AF347" s="822"/>
      <c r="AG347" s="828"/>
      <c r="AH347" s="822"/>
      <c r="AI347" s="822"/>
      <c r="AJ347" s="822"/>
      <c r="AK347" s="806"/>
      <c r="AL347" s="806"/>
      <c r="AM347" s="806"/>
      <c r="AN347" s="806"/>
      <c r="AO347" s="806"/>
      <c r="AP347" s="806"/>
      <c r="AQ347" s="806"/>
      <c r="AR347" s="806"/>
      <c r="AS347" s="806"/>
      <c r="AT347" s="806"/>
      <c r="AU347" s="806"/>
      <c r="AV347" s="806"/>
      <c r="AW347" s="806"/>
      <c r="AX347" s="806"/>
      <c r="AY347" s="600"/>
    </row>
    <row r="348" spans="1:51" ht="28.9" customHeight="1" x14ac:dyDescent="0.25">
      <c r="A348" s="828"/>
      <c r="B348" s="822"/>
      <c r="C348" s="822"/>
      <c r="D348" s="579" t="s">
        <v>351</v>
      </c>
      <c r="E348" s="582"/>
      <c r="F348" s="582"/>
      <c r="G348" s="582"/>
      <c r="H348" s="582"/>
      <c r="I348" s="580"/>
      <c r="J348" s="580"/>
      <c r="K348" s="580"/>
      <c r="L348" s="580"/>
      <c r="M348" s="580"/>
      <c r="N348" s="586"/>
      <c r="O348" s="573"/>
      <c r="P348" s="580"/>
      <c r="Q348" s="580"/>
      <c r="R348" s="580"/>
      <c r="S348" s="580"/>
      <c r="T348" s="581"/>
      <c r="U348" s="580">
        <v>0</v>
      </c>
      <c r="V348" s="580">
        <v>0</v>
      </c>
      <c r="W348" s="580">
        <v>0</v>
      </c>
      <c r="X348" s="580">
        <v>0</v>
      </c>
      <c r="Y348" s="603">
        <v>0</v>
      </c>
      <c r="Z348" s="580">
        <f t="shared" si="87"/>
        <v>0</v>
      </c>
      <c r="AA348" s="581">
        <f t="shared" si="87"/>
        <v>0</v>
      </c>
      <c r="AB348" s="574">
        <f t="shared" si="87"/>
        <v>0</v>
      </c>
      <c r="AC348" s="580">
        <f t="shared" si="87"/>
        <v>0</v>
      </c>
      <c r="AD348" s="580">
        <f t="shared" si="87"/>
        <v>0</v>
      </c>
      <c r="AE348" s="580">
        <f t="shared" si="87"/>
        <v>0</v>
      </c>
      <c r="AF348" s="822"/>
      <c r="AG348" s="828"/>
      <c r="AH348" s="822"/>
      <c r="AI348" s="822"/>
      <c r="AJ348" s="822"/>
      <c r="AK348" s="806"/>
      <c r="AL348" s="806"/>
      <c r="AM348" s="806"/>
      <c r="AN348" s="806"/>
      <c r="AO348" s="806"/>
      <c r="AP348" s="806"/>
      <c r="AQ348" s="806"/>
      <c r="AR348" s="806"/>
      <c r="AS348" s="806"/>
      <c r="AT348" s="806"/>
      <c r="AU348" s="806"/>
      <c r="AV348" s="806"/>
      <c r="AW348" s="806"/>
      <c r="AX348" s="806"/>
      <c r="AY348" s="600"/>
    </row>
    <row r="349" spans="1:51" ht="28.9" customHeight="1" x14ac:dyDescent="0.25">
      <c r="A349" s="828"/>
      <c r="B349" s="822"/>
      <c r="C349" s="822"/>
      <c r="D349" s="578" t="s">
        <v>352</v>
      </c>
      <c r="E349" s="582"/>
      <c r="F349" s="582"/>
      <c r="G349" s="582"/>
      <c r="H349" s="582"/>
      <c r="I349" s="580">
        <v>28725</v>
      </c>
      <c r="J349" s="580">
        <v>821111</v>
      </c>
      <c r="K349" s="580">
        <v>821111</v>
      </c>
      <c r="L349" s="580">
        <v>821111</v>
      </c>
      <c r="M349" s="580">
        <v>821111</v>
      </c>
      <c r="N349" s="582">
        <v>821111</v>
      </c>
      <c r="O349" s="582">
        <v>821111</v>
      </c>
      <c r="P349" s="580">
        <v>821111</v>
      </c>
      <c r="Q349" s="580">
        <v>821111</v>
      </c>
      <c r="R349" s="580">
        <v>821111</v>
      </c>
      <c r="S349" s="580"/>
      <c r="T349" s="581"/>
      <c r="U349" s="580">
        <v>0</v>
      </c>
      <c r="V349" s="580">
        <v>28725</v>
      </c>
      <c r="W349" s="580">
        <v>821111</v>
      </c>
      <c r="X349" s="580">
        <v>821111</v>
      </c>
      <c r="Y349" s="603">
        <v>821111</v>
      </c>
      <c r="Z349" s="580">
        <f t="shared" si="87"/>
        <v>821111</v>
      </c>
      <c r="AA349" s="580">
        <f t="shared" si="87"/>
        <v>821111</v>
      </c>
      <c r="AB349" s="574">
        <f t="shared" si="87"/>
        <v>821111</v>
      </c>
      <c r="AC349" s="580">
        <f t="shared" si="87"/>
        <v>821111</v>
      </c>
      <c r="AD349" s="580">
        <f t="shared" si="87"/>
        <v>821111</v>
      </c>
      <c r="AE349" s="580">
        <f t="shared" si="87"/>
        <v>821111</v>
      </c>
      <c r="AF349" s="822"/>
      <c r="AG349" s="828"/>
      <c r="AH349" s="822"/>
      <c r="AI349" s="822"/>
      <c r="AJ349" s="822"/>
      <c r="AK349" s="806"/>
      <c r="AL349" s="806"/>
      <c r="AM349" s="806"/>
      <c r="AN349" s="806"/>
      <c r="AO349" s="806"/>
      <c r="AP349" s="806"/>
      <c r="AQ349" s="806"/>
      <c r="AR349" s="806"/>
      <c r="AS349" s="806"/>
      <c r="AT349" s="806"/>
      <c r="AU349" s="806"/>
      <c r="AV349" s="806"/>
      <c r="AW349" s="806"/>
      <c r="AX349" s="806"/>
      <c r="AY349" s="600"/>
    </row>
    <row r="350" spans="1:51" ht="28.9" customHeight="1" x14ac:dyDescent="0.25">
      <c r="A350" s="828"/>
      <c r="B350" s="822"/>
      <c r="C350" s="822"/>
      <c r="D350" s="579" t="s">
        <v>353</v>
      </c>
      <c r="E350" s="582"/>
      <c r="F350" s="582"/>
      <c r="G350" s="582"/>
      <c r="H350" s="582"/>
      <c r="I350" s="580">
        <v>650</v>
      </c>
      <c r="J350" s="580">
        <v>650</v>
      </c>
      <c r="K350" s="580">
        <v>650</v>
      </c>
      <c r="L350" s="580">
        <v>650</v>
      </c>
      <c r="M350" s="580">
        <v>650</v>
      </c>
      <c r="N350" s="582">
        <v>650</v>
      </c>
      <c r="O350" s="582">
        <v>650</v>
      </c>
      <c r="P350" s="580">
        <v>650</v>
      </c>
      <c r="Q350" s="580">
        <v>650</v>
      </c>
      <c r="R350" s="580">
        <v>650</v>
      </c>
      <c r="S350" s="580"/>
      <c r="T350" s="581"/>
      <c r="U350" s="580">
        <v>0</v>
      </c>
      <c r="V350" s="580">
        <v>650</v>
      </c>
      <c r="W350" s="580">
        <v>650</v>
      </c>
      <c r="X350" s="580">
        <v>650</v>
      </c>
      <c r="Y350" s="603">
        <v>650</v>
      </c>
      <c r="Z350" s="580">
        <f t="shared" si="87"/>
        <v>650</v>
      </c>
      <c r="AA350" s="580">
        <f t="shared" si="87"/>
        <v>650</v>
      </c>
      <c r="AB350" s="574">
        <f t="shared" si="87"/>
        <v>650</v>
      </c>
      <c r="AC350" s="580">
        <f t="shared" si="87"/>
        <v>650</v>
      </c>
      <c r="AD350" s="580">
        <f t="shared" si="87"/>
        <v>650</v>
      </c>
      <c r="AE350" s="580">
        <f t="shared" si="87"/>
        <v>650</v>
      </c>
      <c r="AF350" s="822"/>
      <c r="AG350" s="828"/>
      <c r="AH350" s="822"/>
      <c r="AI350" s="822"/>
      <c r="AJ350" s="822"/>
      <c r="AK350" s="806"/>
      <c r="AL350" s="806"/>
      <c r="AM350" s="806"/>
      <c r="AN350" s="806"/>
      <c r="AO350" s="806"/>
      <c r="AP350" s="806"/>
      <c r="AQ350" s="806"/>
      <c r="AR350" s="806"/>
      <c r="AS350" s="806"/>
      <c r="AT350" s="806"/>
      <c r="AU350" s="806"/>
      <c r="AV350" s="806"/>
      <c r="AW350" s="806"/>
      <c r="AX350" s="806"/>
      <c r="AY350" s="600"/>
    </row>
    <row r="351" spans="1:51" ht="28.9" customHeight="1" x14ac:dyDescent="0.25">
      <c r="A351" s="828"/>
      <c r="B351" s="822"/>
      <c r="C351" s="823"/>
      <c r="D351" s="578" t="s">
        <v>354</v>
      </c>
      <c r="E351" s="582"/>
      <c r="F351" s="582"/>
      <c r="G351" s="582"/>
      <c r="H351" s="582"/>
      <c r="I351" s="580">
        <v>17245925</v>
      </c>
      <c r="J351" s="580">
        <v>12454354.243243244</v>
      </c>
      <c r="K351" s="580">
        <v>9605396.7142857146</v>
      </c>
      <c r="L351" s="580">
        <v>7842807.5742251221</v>
      </c>
      <c r="M351" s="580">
        <f t="shared" ref="M351:R351" si="90">+M347+M349</f>
        <v>6733611</v>
      </c>
      <c r="N351" s="582">
        <f t="shared" si="90"/>
        <v>5813340.1811644631</v>
      </c>
      <c r="O351" s="582">
        <f t="shared" si="90"/>
        <v>5216842.2091503264</v>
      </c>
      <c r="P351" s="580">
        <f t="shared" si="90"/>
        <v>4729137.1485382244</v>
      </c>
      <c r="Q351" s="580">
        <f t="shared" si="90"/>
        <v>4577044.6823734734</v>
      </c>
      <c r="R351" s="580">
        <f t="shared" si="90"/>
        <v>4785650.0070921984</v>
      </c>
      <c r="S351" s="580"/>
      <c r="T351" s="581"/>
      <c r="U351" s="580">
        <v>0</v>
      </c>
      <c r="V351" s="580">
        <v>17245925</v>
      </c>
      <c r="W351" s="580">
        <v>12454354.243243244</v>
      </c>
      <c r="X351" s="580">
        <v>9605396.7142857146</v>
      </c>
      <c r="Y351" s="603">
        <v>7842807.5742251221</v>
      </c>
      <c r="Z351" s="580">
        <f t="shared" si="87"/>
        <v>6733611</v>
      </c>
      <c r="AA351" s="580">
        <f t="shared" si="87"/>
        <v>5813340.1811644631</v>
      </c>
      <c r="AB351" s="574">
        <f t="shared" si="87"/>
        <v>5216842.2091503264</v>
      </c>
      <c r="AC351" s="580">
        <f t="shared" si="87"/>
        <v>4729137.1485382244</v>
      </c>
      <c r="AD351" s="580">
        <f t="shared" si="87"/>
        <v>4577044.6823734734</v>
      </c>
      <c r="AE351" s="580">
        <f t="shared" si="87"/>
        <v>4785650.0070921984</v>
      </c>
      <c r="AF351" s="823"/>
      <c r="AG351" s="829"/>
      <c r="AH351" s="823"/>
      <c r="AI351" s="823"/>
      <c r="AJ351" s="823"/>
      <c r="AK351" s="807"/>
      <c r="AL351" s="807"/>
      <c r="AM351" s="807"/>
      <c r="AN351" s="807"/>
      <c r="AO351" s="807"/>
      <c r="AP351" s="807"/>
      <c r="AQ351" s="807"/>
      <c r="AR351" s="807"/>
      <c r="AS351" s="807"/>
      <c r="AT351" s="807"/>
      <c r="AU351" s="807"/>
      <c r="AV351" s="807"/>
      <c r="AW351" s="807"/>
      <c r="AX351" s="807"/>
      <c r="AY351" s="600"/>
    </row>
    <row r="352" spans="1:51" ht="19.149999999999999" customHeight="1" x14ac:dyDescent="0.25">
      <c r="A352" s="828"/>
      <c r="B352" s="822"/>
      <c r="C352" s="821" t="s">
        <v>731</v>
      </c>
      <c r="D352" s="572" t="s">
        <v>345</v>
      </c>
      <c r="E352" s="582"/>
      <c r="F352" s="582"/>
      <c r="G352" s="582"/>
      <c r="H352" s="582">
        <v>600</v>
      </c>
      <c r="I352" s="580">
        <v>600</v>
      </c>
      <c r="J352" s="580">
        <v>600</v>
      </c>
      <c r="K352" s="580">
        <v>600</v>
      </c>
      <c r="L352" s="580">
        <v>600</v>
      </c>
      <c r="M352" s="580">
        <v>600</v>
      </c>
      <c r="N352" s="586">
        <v>600</v>
      </c>
      <c r="O352" s="573">
        <v>600</v>
      </c>
      <c r="P352" s="580">
        <v>600</v>
      </c>
      <c r="Q352" s="580">
        <v>600</v>
      </c>
      <c r="R352" s="580">
        <v>600</v>
      </c>
      <c r="S352" s="580"/>
      <c r="T352" s="581"/>
      <c r="U352" s="580">
        <v>600</v>
      </c>
      <c r="V352" s="580">
        <v>600</v>
      </c>
      <c r="W352" s="580">
        <v>600</v>
      </c>
      <c r="X352" s="580">
        <v>600</v>
      </c>
      <c r="Y352" s="603">
        <v>600</v>
      </c>
      <c r="Z352" s="580">
        <f t="shared" si="87"/>
        <v>600</v>
      </c>
      <c r="AA352" s="581">
        <f t="shared" si="87"/>
        <v>600</v>
      </c>
      <c r="AB352" s="574">
        <f t="shared" si="87"/>
        <v>600</v>
      </c>
      <c r="AC352" s="580">
        <f t="shared" si="87"/>
        <v>600</v>
      </c>
      <c r="AD352" s="580">
        <f t="shared" si="87"/>
        <v>600</v>
      </c>
      <c r="AE352" s="580">
        <f t="shared" si="87"/>
        <v>600</v>
      </c>
      <c r="AF352" s="887" t="s">
        <v>732</v>
      </c>
      <c r="AG352" s="827" t="s">
        <v>555</v>
      </c>
      <c r="AH352" s="824" t="s">
        <v>719</v>
      </c>
      <c r="AI352" s="824" t="s">
        <v>720</v>
      </c>
      <c r="AJ352" s="821" t="s">
        <v>678</v>
      </c>
      <c r="AK352" s="826" t="s">
        <v>490</v>
      </c>
      <c r="AL352" s="826" t="s">
        <v>178</v>
      </c>
      <c r="AM352" s="826" t="s">
        <v>672</v>
      </c>
      <c r="AN352" s="820">
        <v>817019</v>
      </c>
      <c r="AO352" s="820">
        <v>387428</v>
      </c>
      <c r="AP352" s="820">
        <v>429591</v>
      </c>
      <c r="AQ352" s="844" t="s">
        <v>492</v>
      </c>
      <c r="AR352" s="844" t="s">
        <v>492</v>
      </c>
      <c r="AS352" s="844" t="s">
        <v>492</v>
      </c>
      <c r="AT352" s="844" t="s">
        <v>492</v>
      </c>
      <c r="AU352" s="805" t="s">
        <v>492</v>
      </c>
      <c r="AV352" s="805" t="s">
        <v>492</v>
      </c>
      <c r="AW352" s="805" t="s">
        <v>492</v>
      </c>
      <c r="AX352" s="808">
        <v>817019</v>
      </c>
      <c r="AY352" s="600"/>
    </row>
    <row r="353" spans="1:51" ht="19.149999999999999" customHeight="1" x14ac:dyDescent="0.25">
      <c r="A353" s="828"/>
      <c r="B353" s="822"/>
      <c r="C353" s="822"/>
      <c r="D353" s="578" t="s">
        <v>349</v>
      </c>
      <c r="E353" s="582"/>
      <c r="F353" s="582"/>
      <c r="G353" s="582"/>
      <c r="H353" s="582">
        <v>33110000</v>
      </c>
      <c r="I353" s="580">
        <v>15892800</v>
      </c>
      <c r="J353" s="580">
        <v>10738378.378378378</v>
      </c>
      <c r="K353" s="580">
        <v>8108571.4285714282</v>
      </c>
      <c r="L353" s="580">
        <v>6481566.0685154973</v>
      </c>
      <c r="M353" s="580">
        <f>+M352*$Z$251/$Z$250</f>
        <v>5457692.307692308</v>
      </c>
      <c r="N353" s="582">
        <f>+N352*$AA$251/$AA$250</f>
        <v>4608211.55184412</v>
      </c>
      <c r="O353" s="582">
        <f>+O352*$AB$251/$AB$250</f>
        <v>4057598.0392156863</v>
      </c>
      <c r="P353" s="580">
        <f>+P352*$AC$251/$AC$250</f>
        <v>3607408.7524968223</v>
      </c>
      <c r="Q353" s="580">
        <f>+Q352*$AD$251/$AD$250</f>
        <v>3467015.7068062825</v>
      </c>
      <c r="R353" s="580">
        <f>+R352*$AE$251/$AE$250</f>
        <v>3659574.4680851065</v>
      </c>
      <c r="S353" s="580"/>
      <c r="T353" s="581"/>
      <c r="U353" s="580">
        <v>33110000</v>
      </c>
      <c r="V353" s="580">
        <v>15892800</v>
      </c>
      <c r="W353" s="580">
        <v>10738378.378378378</v>
      </c>
      <c r="X353" s="580">
        <v>8108571.4285714282</v>
      </c>
      <c r="Y353" s="603">
        <v>6481566.0685154973</v>
      </c>
      <c r="Z353" s="580">
        <f t="shared" si="87"/>
        <v>5457692.307692308</v>
      </c>
      <c r="AA353" s="580">
        <f t="shared" si="87"/>
        <v>4608211.55184412</v>
      </c>
      <c r="AB353" s="574">
        <f t="shared" si="87"/>
        <v>4057598.0392156863</v>
      </c>
      <c r="AC353" s="580">
        <f t="shared" si="87"/>
        <v>3607408.7524968223</v>
      </c>
      <c r="AD353" s="580">
        <f t="shared" si="87"/>
        <v>3467015.7068062825</v>
      </c>
      <c r="AE353" s="580">
        <f t="shared" si="87"/>
        <v>3659574.4680851065</v>
      </c>
      <c r="AF353" s="822"/>
      <c r="AG353" s="828"/>
      <c r="AH353" s="822"/>
      <c r="AI353" s="822"/>
      <c r="AJ353" s="822"/>
      <c r="AK353" s="806"/>
      <c r="AL353" s="806"/>
      <c r="AM353" s="806"/>
      <c r="AN353" s="806"/>
      <c r="AO353" s="806"/>
      <c r="AP353" s="806"/>
      <c r="AQ353" s="806"/>
      <c r="AR353" s="806"/>
      <c r="AS353" s="806"/>
      <c r="AT353" s="806"/>
      <c r="AU353" s="806"/>
      <c r="AV353" s="806"/>
      <c r="AW353" s="806"/>
      <c r="AX353" s="806"/>
      <c r="AY353" s="600"/>
    </row>
    <row r="354" spans="1:51" ht="28.9" customHeight="1" x14ac:dyDescent="0.25">
      <c r="A354" s="828"/>
      <c r="B354" s="822"/>
      <c r="C354" s="822"/>
      <c r="D354" s="579" t="s">
        <v>351</v>
      </c>
      <c r="E354" s="582"/>
      <c r="F354" s="582"/>
      <c r="G354" s="582"/>
      <c r="H354" s="582">
        <v>0</v>
      </c>
      <c r="I354" s="580">
        <v>0</v>
      </c>
      <c r="J354" s="580"/>
      <c r="K354" s="580"/>
      <c r="L354" s="580"/>
      <c r="M354" s="580"/>
      <c r="N354" s="586"/>
      <c r="O354" s="573"/>
      <c r="P354" s="580"/>
      <c r="Q354" s="580"/>
      <c r="R354" s="580"/>
      <c r="S354" s="580"/>
      <c r="T354" s="581"/>
      <c r="U354" s="580">
        <v>0</v>
      </c>
      <c r="V354" s="580">
        <v>0</v>
      </c>
      <c r="W354" s="580">
        <v>0</v>
      </c>
      <c r="X354" s="580">
        <v>0</v>
      </c>
      <c r="Y354" s="603">
        <v>0</v>
      </c>
      <c r="Z354" s="580">
        <f t="shared" ref="Z354:AE369" si="91">+M354</f>
        <v>0</v>
      </c>
      <c r="AA354" s="581">
        <f t="shared" si="91"/>
        <v>0</v>
      </c>
      <c r="AB354" s="574">
        <f t="shared" si="91"/>
        <v>0</v>
      </c>
      <c r="AC354" s="580">
        <f t="shared" si="91"/>
        <v>0</v>
      </c>
      <c r="AD354" s="580">
        <f t="shared" si="91"/>
        <v>0</v>
      </c>
      <c r="AE354" s="580">
        <f t="shared" si="91"/>
        <v>0</v>
      </c>
      <c r="AF354" s="822"/>
      <c r="AG354" s="828"/>
      <c r="AH354" s="822"/>
      <c r="AI354" s="822"/>
      <c r="AJ354" s="822"/>
      <c r="AK354" s="806"/>
      <c r="AL354" s="806"/>
      <c r="AM354" s="806"/>
      <c r="AN354" s="806"/>
      <c r="AO354" s="806"/>
      <c r="AP354" s="806"/>
      <c r="AQ354" s="806"/>
      <c r="AR354" s="806"/>
      <c r="AS354" s="806"/>
      <c r="AT354" s="806"/>
      <c r="AU354" s="806"/>
      <c r="AV354" s="806"/>
      <c r="AW354" s="806"/>
      <c r="AX354" s="806"/>
      <c r="AY354" s="600"/>
    </row>
    <row r="355" spans="1:51" ht="28.9" customHeight="1" x14ac:dyDescent="0.25">
      <c r="A355" s="828"/>
      <c r="B355" s="822"/>
      <c r="C355" s="822"/>
      <c r="D355" s="578" t="s">
        <v>352</v>
      </c>
      <c r="E355" s="582"/>
      <c r="F355" s="582"/>
      <c r="G355" s="582"/>
      <c r="H355" s="582">
        <v>2406308</v>
      </c>
      <c r="I355" s="580">
        <v>2406308</v>
      </c>
      <c r="J355" s="580">
        <v>821111</v>
      </c>
      <c r="K355" s="580">
        <v>821111</v>
      </c>
      <c r="L355" s="580">
        <v>821111</v>
      </c>
      <c r="M355" s="580">
        <v>821111</v>
      </c>
      <c r="N355" s="582">
        <v>821111</v>
      </c>
      <c r="O355" s="582">
        <v>821111</v>
      </c>
      <c r="P355" s="580">
        <v>821111</v>
      </c>
      <c r="Q355" s="580">
        <v>821111</v>
      </c>
      <c r="R355" s="580">
        <v>821111</v>
      </c>
      <c r="S355" s="580"/>
      <c r="T355" s="581"/>
      <c r="U355" s="580">
        <v>2406308</v>
      </c>
      <c r="V355" s="580">
        <v>2406308</v>
      </c>
      <c r="W355" s="580">
        <v>821111</v>
      </c>
      <c r="X355" s="580">
        <v>821111</v>
      </c>
      <c r="Y355" s="603">
        <v>821111</v>
      </c>
      <c r="Z355" s="580">
        <f t="shared" si="91"/>
        <v>821111</v>
      </c>
      <c r="AA355" s="580">
        <f t="shared" si="91"/>
        <v>821111</v>
      </c>
      <c r="AB355" s="574">
        <f t="shared" si="91"/>
        <v>821111</v>
      </c>
      <c r="AC355" s="580">
        <f t="shared" si="91"/>
        <v>821111</v>
      </c>
      <c r="AD355" s="580">
        <f t="shared" si="91"/>
        <v>821111</v>
      </c>
      <c r="AE355" s="580">
        <f t="shared" si="91"/>
        <v>821111</v>
      </c>
      <c r="AF355" s="822"/>
      <c r="AG355" s="828"/>
      <c r="AH355" s="822"/>
      <c r="AI355" s="822"/>
      <c r="AJ355" s="822"/>
      <c r="AK355" s="806"/>
      <c r="AL355" s="806"/>
      <c r="AM355" s="806"/>
      <c r="AN355" s="806"/>
      <c r="AO355" s="806"/>
      <c r="AP355" s="806"/>
      <c r="AQ355" s="806"/>
      <c r="AR355" s="806"/>
      <c r="AS355" s="806"/>
      <c r="AT355" s="806"/>
      <c r="AU355" s="806"/>
      <c r="AV355" s="806"/>
      <c r="AW355" s="806"/>
      <c r="AX355" s="806"/>
      <c r="AY355" s="600"/>
    </row>
    <row r="356" spans="1:51" ht="28.9" customHeight="1" x14ac:dyDescent="0.25">
      <c r="A356" s="828"/>
      <c r="B356" s="822"/>
      <c r="C356" s="822"/>
      <c r="D356" s="579" t="s">
        <v>353</v>
      </c>
      <c r="E356" s="582"/>
      <c r="F356" s="582"/>
      <c r="G356" s="582"/>
      <c r="H356" s="582">
        <v>600</v>
      </c>
      <c r="I356" s="580">
        <v>600</v>
      </c>
      <c r="J356" s="580">
        <v>600</v>
      </c>
      <c r="K356" s="580">
        <v>600</v>
      </c>
      <c r="L356" s="580">
        <v>600</v>
      </c>
      <c r="M356" s="580">
        <v>600</v>
      </c>
      <c r="N356" s="582">
        <v>600</v>
      </c>
      <c r="O356" s="582">
        <v>600</v>
      </c>
      <c r="P356" s="580">
        <v>600</v>
      </c>
      <c r="Q356" s="580">
        <v>600</v>
      </c>
      <c r="R356" s="580">
        <v>600</v>
      </c>
      <c r="S356" s="580"/>
      <c r="T356" s="581"/>
      <c r="U356" s="580">
        <v>600</v>
      </c>
      <c r="V356" s="580">
        <v>600</v>
      </c>
      <c r="W356" s="580">
        <v>600</v>
      </c>
      <c r="X356" s="580">
        <v>600</v>
      </c>
      <c r="Y356" s="603">
        <v>600</v>
      </c>
      <c r="Z356" s="580">
        <f t="shared" si="91"/>
        <v>600</v>
      </c>
      <c r="AA356" s="580">
        <f t="shared" si="91"/>
        <v>600</v>
      </c>
      <c r="AB356" s="574">
        <f t="shared" si="91"/>
        <v>600</v>
      </c>
      <c r="AC356" s="580">
        <f t="shared" si="91"/>
        <v>600</v>
      </c>
      <c r="AD356" s="580">
        <f t="shared" si="91"/>
        <v>600</v>
      </c>
      <c r="AE356" s="580">
        <f t="shared" si="91"/>
        <v>600</v>
      </c>
      <c r="AF356" s="822"/>
      <c r="AG356" s="828"/>
      <c r="AH356" s="822"/>
      <c r="AI356" s="822"/>
      <c r="AJ356" s="822"/>
      <c r="AK356" s="806"/>
      <c r="AL356" s="806"/>
      <c r="AM356" s="806"/>
      <c r="AN356" s="806"/>
      <c r="AO356" s="806"/>
      <c r="AP356" s="806"/>
      <c r="AQ356" s="806"/>
      <c r="AR356" s="806"/>
      <c r="AS356" s="806"/>
      <c r="AT356" s="806"/>
      <c r="AU356" s="806"/>
      <c r="AV356" s="806"/>
      <c r="AW356" s="806"/>
      <c r="AX356" s="806"/>
      <c r="AY356" s="600"/>
    </row>
    <row r="357" spans="1:51" ht="28.9" customHeight="1" x14ac:dyDescent="0.25">
      <c r="A357" s="828"/>
      <c r="B357" s="822"/>
      <c r="C357" s="823"/>
      <c r="D357" s="578" t="s">
        <v>354</v>
      </c>
      <c r="E357" s="582"/>
      <c r="F357" s="582"/>
      <c r="G357" s="582"/>
      <c r="H357" s="582">
        <v>35516308</v>
      </c>
      <c r="I357" s="580">
        <v>18299108</v>
      </c>
      <c r="J357" s="580">
        <v>11559489.378378378</v>
      </c>
      <c r="K357" s="580">
        <v>8929682.4285714291</v>
      </c>
      <c r="L357" s="580">
        <v>7302677.0685154973</v>
      </c>
      <c r="M357" s="580">
        <f t="shared" ref="M357:R357" si="92">+M353+M355</f>
        <v>6278803.307692308</v>
      </c>
      <c r="N357" s="582">
        <f t="shared" si="92"/>
        <v>5429322.55184412</v>
      </c>
      <c r="O357" s="582">
        <f t="shared" si="92"/>
        <v>4878709.0392156858</v>
      </c>
      <c r="P357" s="580">
        <f t="shared" si="92"/>
        <v>4428519.7524968218</v>
      </c>
      <c r="Q357" s="580">
        <f t="shared" si="92"/>
        <v>4288126.7068062825</v>
      </c>
      <c r="R357" s="580">
        <f t="shared" si="92"/>
        <v>4480685.4680851065</v>
      </c>
      <c r="S357" s="580"/>
      <c r="T357" s="581"/>
      <c r="U357" s="580">
        <v>35516308</v>
      </c>
      <c r="V357" s="580">
        <v>18299108</v>
      </c>
      <c r="W357" s="580">
        <v>11559489.378378378</v>
      </c>
      <c r="X357" s="580">
        <v>8929682.4285714291</v>
      </c>
      <c r="Y357" s="603">
        <v>7302677.0685154973</v>
      </c>
      <c r="Z357" s="580">
        <f t="shared" si="91"/>
        <v>6278803.307692308</v>
      </c>
      <c r="AA357" s="580">
        <f t="shared" si="91"/>
        <v>5429322.55184412</v>
      </c>
      <c r="AB357" s="574">
        <f t="shared" si="91"/>
        <v>4878709.0392156858</v>
      </c>
      <c r="AC357" s="580">
        <f t="shared" si="91"/>
        <v>4428519.7524968218</v>
      </c>
      <c r="AD357" s="580">
        <f t="shared" si="91"/>
        <v>4288126.7068062825</v>
      </c>
      <c r="AE357" s="580">
        <f t="shared" si="91"/>
        <v>4480685.4680851065</v>
      </c>
      <c r="AF357" s="823"/>
      <c r="AG357" s="829"/>
      <c r="AH357" s="823"/>
      <c r="AI357" s="823"/>
      <c r="AJ357" s="823"/>
      <c r="AK357" s="807"/>
      <c r="AL357" s="807"/>
      <c r="AM357" s="807"/>
      <c r="AN357" s="807"/>
      <c r="AO357" s="807"/>
      <c r="AP357" s="807"/>
      <c r="AQ357" s="807"/>
      <c r="AR357" s="807"/>
      <c r="AS357" s="807"/>
      <c r="AT357" s="807"/>
      <c r="AU357" s="807"/>
      <c r="AV357" s="807"/>
      <c r="AW357" s="807"/>
      <c r="AX357" s="807"/>
      <c r="AY357" s="600"/>
    </row>
    <row r="358" spans="1:51" ht="19.149999999999999" customHeight="1" x14ac:dyDescent="0.25">
      <c r="A358" s="828"/>
      <c r="B358" s="822"/>
      <c r="C358" s="821" t="s">
        <v>733</v>
      </c>
      <c r="D358" s="572" t="s">
        <v>345</v>
      </c>
      <c r="E358" s="582"/>
      <c r="F358" s="582"/>
      <c r="G358" s="582"/>
      <c r="H358" s="582"/>
      <c r="I358" s="580"/>
      <c r="J358" s="580"/>
      <c r="K358" s="580"/>
      <c r="L358" s="580"/>
      <c r="M358" s="580"/>
      <c r="N358" s="586"/>
      <c r="O358" s="573"/>
      <c r="P358" s="580">
        <v>300</v>
      </c>
      <c r="Q358" s="580">
        <v>300</v>
      </c>
      <c r="R358" s="580">
        <v>300</v>
      </c>
      <c r="S358" s="580"/>
      <c r="T358" s="581"/>
      <c r="U358" s="580"/>
      <c r="V358" s="581"/>
      <c r="W358" s="580"/>
      <c r="X358" s="580"/>
      <c r="Y358" s="580"/>
      <c r="Z358" s="581"/>
      <c r="AA358" s="581"/>
      <c r="AB358" s="574"/>
      <c r="AC358" s="580">
        <f t="shared" si="91"/>
        <v>300</v>
      </c>
      <c r="AD358" s="580">
        <f t="shared" si="91"/>
        <v>300</v>
      </c>
      <c r="AE358" s="580">
        <f t="shared" si="91"/>
        <v>300</v>
      </c>
      <c r="AF358" s="887" t="s">
        <v>734</v>
      </c>
      <c r="AG358" s="827" t="s">
        <v>561</v>
      </c>
      <c r="AH358" s="824" t="s">
        <v>735</v>
      </c>
      <c r="AI358" s="824" t="s">
        <v>736</v>
      </c>
      <c r="AJ358" s="821" t="s">
        <v>678</v>
      </c>
      <c r="AK358" s="826" t="s">
        <v>490</v>
      </c>
      <c r="AL358" s="826" t="s">
        <v>178</v>
      </c>
      <c r="AM358" s="826" t="s">
        <v>491</v>
      </c>
      <c r="AN358" s="820">
        <v>1294358</v>
      </c>
      <c r="AO358" s="820">
        <v>610618</v>
      </c>
      <c r="AP358" s="820">
        <v>683740</v>
      </c>
      <c r="AQ358" s="844" t="s">
        <v>492</v>
      </c>
      <c r="AR358" s="844" t="s">
        <v>492</v>
      </c>
      <c r="AS358" s="844" t="s">
        <v>492</v>
      </c>
      <c r="AT358" s="844" t="s">
        <v>492</v>
      </c>
      <c r="AU358" s="805" t="s">
        <v>492</v>
      </c>
      <c r="AV358" s="805" t="s">
        <v>492</v>
      </c>
      <c r="AW358" s="805" t="s">
        <v>492</v>
      </c>
      <c r="AX358" s="808">
        <v>1269831</v>
      </c>
      <c r="AY358" s="600"/>
    </row>
    <row r="359" spans="1:51" ht="19.149999999999999" customHeight="1" x14ac:dyDescent="0.25">
      <c r="A359" s="828"/>
      <c r="B359" s="822"/>
      <c r="C359" s="822"/>
      <c r="D359" s="578" t="s">
        <v>349</v>
      </c>
      <c r="E359" s="582"/>
      <c r="F359" s="582"/>
      <c r="G359" s="573"/>
      <c r="H359" s="582"/>
      <c r="I359" s="580"/>
      <c r="J359" s="580"/>
      <c r="K359" s="580"/>
      <c r="L359" s="580"/>
      <c r="M359" s="580"/>
      <c r="N359" s="582"/>
      <c r="O359" s="573"/>
      <c r="P359" s="580">
        <f>+P358*$AC$251/$AC$250</f>
        <v>1803704.3762484111</v>
      </c>
      <c r="Q359" s="580">
        <f>+Q358*$AD$251/$AD$250</f>
        <v>1733507.8534031413</v>
      </c>
      <c r="R359" s="580">
        <f>+R358*$AE$251/$AE$250</f>
        <v>1829787.2340425532</v>
      </c>
      <c r="S359" s="580"/>
      <c r="T359" s="574"/>
      <c r="U359" s="580"/>
      <c r="V359" s="580"/>
      <c r="W359" s="580"/>
      <c r="X359" s="580"/>
      <c r="Y359" s="580"/>
      <c r="Z359" s="580"/>
      <c r="AA359" s="580"/>
      <c r="AB359" s="574"/>
      <c r="AC359" s="580">
        <f t="shared" si="91"/>
        <v>1803704.3762484111</v>
      </c>
      <c r="AD359" s="580">
        <f t="shared" si="91"/>
        <v>1733507.8534031413</v>
      </c>
      <c r="AE359" s="580">
        <f t="shared" si="91"/>
        <v>1829787.2340425532</v>
      </c>
      <c r="AF359" s="822"/>
      <c r="AG359" s="828"/>
      <c r="AH359" s="822"/>
      <c r="AI359" s="822"/>
      <c r="AJ359" s="822"/>
      <c r="AK359" s="806"/>
      <c r="AL359" s="806"/>
      <c r="AM359" s="806"/>
      <c r="AN359" s="806"/>
      <c r="AO359" s="806"/>
      <c r="AP359" s="806"/>
      <c r="AQ359" s="806"/>
      <c r="AR359" s="806"/>
      <c r="AS359" s="806"/>
      <c r="AT359" s="806"/>
      <c r="AU359" s="806"/>
      <c r="AV359" s="806"/>
      <c r="AW359" s="806"/>
      <c r="AX359" s="806"/>
      <c r="AY359" s="600"/>
    </row>
    <row r="360" spans="1:51" ht="28.9" customHeight="1" x14ac:dyDescent="0.25">
      <c r="A360" s="828"/>
      <c r="B360" s="822"/>
      <c r="C360" s="822"/>
      <c r="D360" s="579" t="s">
        <v>351</v>
      </c>
      <c r="E360" s="582"/>
      <c r="F360" s="582"/>
      <c r="G360" s="582"/>
      <c r="H360" s="582"/>
      <c r="I360" s="580"/>
      <c r="J360" s="580"/>
      <c r="K360" s="580"/>
      <c r="L360" s="580"/>
      <c r="M360" s="580"/>
      <c r="N360" s="586"/>
      <c r="O360" s="573"/>
      <c r="P360" s="580"/>
      <c r="Q360" s="580"/>
      <c r="R360" s="580"/>
      <c r="S360" s="580"/>
      <c r="T360" s="581"/>
      <c r="U360" s="581"/>
      <c r="V360" s="581"/>
      <c r="W360" s="580"/>
      <c r="X360" s="580"/>
      <c r="Y360" s="580"/>
      <c r="Z360" s="581"/>
      <c r="AA360" s="581"/>
      <c r="AB360" s="574"/>
      <c r="AC360" s="580">
        <f t="shared" si="91"/>
        <v>0</v>
      </c>
      <c r="AD360" s="580">
        <f t="shared" si="91"/>
        <v>0</v>
      </c>
      <c r="AE360" s="580">
        <f t="shared" si="91"/>
        <v>0</v>
      </c>
      <c r="AF360" s="822"/>
      <c r="AG360" s="828"/>
      <c r="AH360" s="822"/>
      <c r="AI360" s="822"/>
      <c r="AJ360" s="822"/>
      <c r="AK360" s="806"/>
      <c r="AL360" s="806"/>
      <c r="AM360" s="806"/>
      <c r="AN360" s="806"/>
      <c r="AO360" s="806"/>
      <c r="AP360" s="806"/>
      <c r="AQ360" s="806"/>
      <c r="AR360" s="806"/>
      <c r="AS360" s="806"/>
      <c r="AT360" s="806"/>
      <c r="AU360" s="806"/>
      <c r="AV360" s="806"/>
      <c r="AW360" s="806"/>
      <c r="AX360" s="806"/>
      <c r="AY360" s="600"/>
    </row>
    <row r="361" spans="1:51" ht="28.9" customHeight="1" x14ac:dyDescent="0.25">
      <c r="A361" s="828"/>
      <c r="B361" s="822"/>
      <c r="C361" s="822"/>
      <c r="D361" s="578" t="s">
        <v>352</v>
      </c>
      <c r="E361" s="582"/>
      <c r="F361" s="582"/>
      <c r="G361" s="582"/>
      <c r="H361" s="582"/>
      <c r="I361" s="574"/>
      <c r="J361" s="574"/>
      <c r="K361" s="574"/>
      <c r="L361" s="574"/>
      <c r="M361" s="574"/>
      <c r="N361" s="573"/>
      <c r="O361" s="573"/>
      <c r="P361" s="574"/>
      <c r="Q361" s="580"/>
      <c r="R361" s="580"/>
      <c r="S361" s="580"/>
      <c r="T361" s="581"/>
      <c r="U361" s="580"/>
      <c r="V361" s="580"/>
      <c r="W361" s="580"/>
      <c r="X361" s="580"/>
      <c r="Y361" s="580"/>
      <c r="Z361" s="574"/>
      <c r="AA361" s="574"/>
      <c r="AB361" s="574"/>
      <c r="AC361" s="580">
        <f t="shared" si="91"/>
        <v>0</v>
      </c>
      <c r="AD361" s="580">
        <f t="shared" si="91"/>
        <v>0</v>
      </c>
      <c r="AE361" s="580">
        <f t="shared" si="91"/>
        <v>0</v>
      </c>
      <c r="AF361" s="822"/>
      <c r="AG361" s="828"/>
      <c r="AH361" s="822"/>
      <c r="AI361" s="822"/>
      <c r="AJ361" s="822"/>
      <c r="AK361" s="806"/>
      <c r="AL361" s="806"/>
      <c r="AM361" s="806"/>
      <c r="AN361" s="806"/>
      <c r="AO361" s="806"/>
      <c r="AP361" s="806"/>
      <c r="AQ361" s="806"/>
      <c r="AR361" s="806"/>
      <c r="AS361" s="806"/>
      <c r="AT361" s="806"/>
      <c r="AU361" s="806"/>
      <c r="AV361" s="806"/>
      <c r="AW361" s="806"/>
      <c r="AX361" s="806"/>
      <c r="AY361" s="600"/>
    </row>
    <row r="362" spans="1:51" ht="28.9" customHeight="1" x14ac:dyDescent="0.25">
      <c r="A362" s="828"/>
      <c r="B362" s="822"/>
      <c r="C362" s="822"/>
      <c r="D362" s="579" t="s">
        <v>353</v>
      </c>
      <c r="E362" s="582"/>
      <c r="F362" s="582"/>
      <c r="G362" s="582"/>
      <c r="H362" s="582"/>
      <c r="I362" s="580"/>
      <c r="J362" s="580"/>
      <c r="K362" s="580"/>
      <c r="L362" s="580"/>
      <c r="M362" s="580"/>
      <c r="N362" s="586"/>
      <c r="O362" s="573"/>
      <c r="P362" s="580">
        <v>300</v>
      </c>
      <c r="Q362" s="580">
        <v>300</v>
      </c>
      <c r="R362" s="580">
        <v>300</v>
      </c>
      <c r="S362" s="580"/>
      <c r="T362" s="574"/>
      <c r="U362" s="581"/>
      <c r="V362" s="581"/>
      <c r="W362" s="580"/>
      <c r="X362" s="580"/>
      <c r="Y362" s="580"/>
      <c r="Z362" s="581"/>
      <c r="AA362" s="581"/>
      <c r="AB362" s="574"/>
      <c r="AC362" s="580">
        <f t="shared" si="91"/>
        <v>300</v>
      </c>
      <c r="AD362" s="580">
        <f t="shared" si="91"/>
        <v>300</v>
      </c>
      <c r="AE362" s="580">
        <f t="shared" si="91"/>
        <v>300</v>
      </c>
      <c r="AF362" s="822"/>
      <c r="AG362" s="828"/>
      <c r="AH362" s="822"/>
      <c r="AI362" s="822"/>
      <c r="AJ362" s="822"/>
      <c r="AK362" s="806"/>
      <c r="AL362" s="806"/>
      <c r="AM362" s="806"/>
      <c r="AN362" s="806"/>
      <c r="AO362" s="806"/>
      <c r="AP362" s="806"/>
      <c r="AQ362" s="806"/>
      <c r="AR362" s="806"/>
      <c r="AS362" s="806"/>
      <c r="AT362" s="806"/>
      <c r="AU362" s="806"/>
      <c r="AV362" s="806"/>
      <c r="AW362" s="806"/>
      <c r="AX362" s="806"/>
      <c r="AY362" s="600"/>
    </row>
    <row r="363" spans="1:51" ht="28.9" customHeight="1" x14ac:dyDescent="0.25">
      <c r="A363" s="828"/>
      <c r="B363" s="822"/>
      <c r="C363" s="823"/>
      <c r="D363" s="578" t="s">
        <v>354</v>
      </c>
      <c r="E363" s="582"/>
      <c r="F363" s="582"/>
      <c r="G363" s="573"/>
      <c r="H363" s="582"/>
      <c r="I363" s="580"/>
      <c r="J363" s="580"/>
      <c r="K363" s="580"/>
      <c r="L363" s="580"/>
      <c r="M363" s="580"/>
      <c r="N363" s="582"/>
      <c r="O363" s="573"/>
      <c r="P363" s="574">
        <f t="shared" ref="P363:R363" si="93">+P359</f>
        <v>1803704.3762484111</v>
      </c>
      <c r="Q363" s="574">
        <f t="shared" si="93"/>
        <v>1733507.8534031413</v>
      </c>
      <c r="R363" s="574">
        <f t="shared" si="93"/>
        <v>1829787.2340425532</v>
      </c>
      <c r="S363" s="574"/>
      <c r="T363" s="574"/>
      <c r="U363" s="580"/>
      <c r="V363" s="580"/>
      <c r="W363" s="580"/>
      <c r="X363" s="580"/>
      <c r="Y363" s="580"/>
      <c r="Z363" s="580"/>
      <c r="AA363" s="580"/>
      <c r="AB363" s="574"/>
      <c r="AC363" s="580">
        <f t="shared" si="91"/>
        <v>1803704.3762484111</v>
      </c>
      <c r="AD363" s="580">
        <f t="shared" si="91"/>
        <v>1733507.8534031413</v>
      </c>
      <c r="AE363" s="574">
        <f t="shared" si="91"/>
        <v>1829787.2340425532</v>
      </c>
      <c r="AF363" s="823"/>
      <c r="AG363" s="829"/>
      <c r="AH363" s="823"/>
      <c r="AI363" s="823"/>
      <c r="AJ363" s="823"/>
      <c r="AK363" s="807"/>
      <c r="AL363" s="807"/>
      <c r="AM363" s="807"/>
      <c r="AN363" s="807"/>
      <c r="AO363" s="807"/>
      <c r="AP363" s="807"/>
      <c r="AQ363" s="807"/>
      <c r="AR363" s="807"/>
      <c r="AS363" s="807"/>
      <c r="AT363" s="807"/>
      <c r="AU363" s="807"/>
      <c r="AV363" s="807"/>
      <c r="AW363" s="807"/>
      <c r="AX363" s="807"/>
      <c r="AY363" s="600"/>
    </row>
    <row r="364" spans="1:51" ht="19.149999999999999" customHeight="1" x14ac:dyDescent="0.25">
      <c r="A364" s="828"/>
      <c r="B364" s="822"/>
      <c r="C364" s="821" t="s">
        <v>737</v>
      </c>
      <c r="D364" s="572" t="s">
        <v>345</v>
      </c>
      <c r="E364" s="582"/>
      <c r="F364" s="582"/>
      <c r="G364" s="582"/>
      <c r="H364" s="582"/>
      <c r="I364" s="580"/>
      <c r="J364" s="580"/>
      <c r="K364" s="580"/>
      <c r="L364" s="580"/>
      <c r="M364" s="580"/>
      <c r="N364" s="586"/>
      <c r="O364" s="573"/>
      <c r="P364" s="580">
        <v>311</v>
      </c>
      <c r="Q364" s="580">
        <v>311</v>
      </c>
      <c r="R364" s="580">
        <v>311</v>
      </c>
      <c r="S364" s="580"/>
      <c r="T364" s="581"/>
      <c r="U364" s="580"/>
      <c r="V364" s="581"/>
      <c r="W364" s="580"/>
      <c r="X364" s="580"/>
      <c r="Y364" s="580"/>
      <c r="Z364" s="581"/>
      <c r="AA364" s="581"/>
      <c r="AB364" s="574"/>
      <c r="AC364" s="580">
        <f t="shared" si="91"/>
        <v>311</v>
      </c>
      <c r="AD364" s="580">
        <f t="shared" si="91"/>
        <v>311</v>
      </c>
      <c r="AE364" s="580">
        <f t="shared" si="91"/>
        <v>311</v>
      </c>
      <c r="AF364" s="887" t="s">
        <v>738</v>
      </c>
      <c r="AG364" s="827" t="s">
        <v>561</v>
      </c>
      <c r="AH364" s="824" t="s">
        <v>735</v>
      </c>
      <c r="AI364" s="824" t="s">
        <v>739</v>
      </c>
      <c r="AJ364" s="821" t="s">
        <v>678</v>
      </c>
      <c r="AK364" s="826" t="s">
        <v>490</v>
      </c>
      <c r="AL364" s="826" t="s">
        <v>178</v>
      </c>
      <c r="AM364" s="826" t="s">
        <v>491</v>
      </c>
      <c r="AN364" s="820">
        <v>1294358</v>
      </c>
      <c r="AO364" s="820">
        <v>610618</v>
      </c>
      <c r="AP364" s="820">
        <v>683740</v>
      </c>
      <c r="AQ364" s="844" t="s">
        <v>492</v>
      </c>
      <c r="AR364" s="844" t="s">
        <v>492</v>
      </c>
      <c r="AS364" s="844" t="s">
        <v>492</v>
      </c>
      <c r="AT364" s="844" t="s">
        <v>492</v>
      </c>
      <c r="AU364" s="805" t="s">
        <v>492</v>
      </c>
      <c r="AV364" s="805" t="s">
        <v>492</v>
      </c>
      <c r="AW364" s="805" t="s">
        <v>492</v>
      </c>
      <c r="AX364" s="808">
        <v>1269831</v>
      </c>
      <c r="AY364" s="600"/>
    </row>
    <row r="365" spans="1:51" ht="19.149999999999999" customHeight="1" x14ac:dyDescent="0.25">
      <c r="A365" s="828"/>
      <c r="B365" s="822"/>
      <c r="C365" s="822"/>
      <c r="D365" s="578" t="s">
        <v>349</v>
      </c>
      <c r="E365" s="582"/>
      <c r="F365" s="582"/>
      <c r="G365" s="573"/>
      <c r="H365" s="582"/>
      <c r="I365" s="580"/>
      <c r="J365" s="580"/>
      <c r="K365" s="580"/>
      <c r="L365" s="580"/>
      <c r="M365" s="580"/>
      <c r="N365" s="582"/>
      <c r="O365" s="573"/>
      <c r="P365" s="580">
        <f>+P364*$AC$251/$AC$250</f>
        <v>1869840.2033775195</v>
      </c>
      <c r="Q365" s="580">
        <f>+Q364*$AD$251/$AD$250</f>
        <v>1797069.8080279231</v>
      </c>
      <c r="R365" s="580">
        <f>+R364*$AE$251/$AE$250</f>
        <v>1896879.4326241135</v>
      </c>
      <c r="S365" s="580"/>
      <c r="T365" s="574"/>
      <c r="U365" s="580"/>
      <c r="V365" s="580"/>
      <c r="W365" s="580"/>
      <c r="X365" s="580"/>
      <c r="Y365" s="580"/>
      <c r="Z365" s="580"/>
      <c r="AA365" s="580"/>
      <c r="AB365" s="574"/>
      <c r="AC365" s="580">
        <f t="shared" si="91"/>
        <v>1869840.2033775195</v>
      </c>
      <c r="AD365" s="580">
        <f t="shared" si="91"/>
        <v>1797069.8080279231</v>
      </c>
      <c r="AE365" s="580">
        <f t="shared" si="91"/>
        <v>1896879.4326241135</v>
      </c>
      <c r="AF365" s="822"/>
      <c r="AG365" s="828"/>
      <c r="AH365" s="822"/>
      <c r="AI365" s="822"/>
      <c r="AJ365" s="822"/>
      <c r="AK365" s="806"/>
      <c r="AL365" s="806"/>
      <c r="AM365" s="806"/>
      <c r="AN365" s="806"/>
      <c r="AO365" s="806"/>
      <c r="AP365" s="806"/>
      <c r="AQ365" s="806"/>
      <c r="AR365" s="806"/>
      <c r="AS365" s="806"/>
      <c r="AT365" s="806"/>
      <c r="AU365" s="806"/>
      <c r="AV365" s="806"/>
      <c r="AW365" s="806"/>
      <c r="AX365" s="806"/>
      <c r="AY365" s="600"/>
    </row>
    <row r="366" spans="1:51" ht="28.9" customHeight="1" x14ac:dyDescent="0.25">
      <c r="A366" s="828"/>
      <c r="B366" s="822"/>
      <c r="C366" s="822"/>
      <c r="D366" s="579" t="s">
        <v>351</v>
      </c>
      <c r="E366" s="582"/>
      <c r="F366" s="582"/>
      <c r="G366" s="582"/>
      <c r="H366" s="582"/>
      <c r="I366" s="580"/>
      <c r="J366" s="580"/>
      <c r="K366" s="580"/>
      <c r="L366" s="580"/>
      <c r="M366" s="580"/>
      <c r="N366" s="586"/>
      <c r="O366" s="573"/>
      <c r="P366" s="580"/>
      <c r="Q366" s="580"/>
      <c r="R366" s="580"/>
      <c r="S366" s="580"/>
      <c r="T366" s="581"/>
      <c r="U366" s="581"/>
      <c r="V366" s="581"/>
      <c r="W366" s="581"/>
      <c r="X366" s="581"/>
      <c r="Y366" s="580"/>
      <c r="Z366" s="581"/>
      <c r="AA366" s="581"/>
      <c r="AB366" s="574"/>
      <c r="AC366" s="580">
        <f t="shared" si="91"/>
        <v>0</v>
      </c>
      <c r="AD366" s="580">
        <f t="shared" si="91"/>
        <v>0</v>
      </c>
      <c r="AE366" s="580">
        <f t="shared" si="91"/>
        <v>0</v>
      </c>
      <c r="AF366" s="822"/>
      <c r="AG366" s="828"/>
      <c r="AH366" s="822"/>
      <c r="AI366" s="822"/>
      <c r="AJ366" s="822"/>
      <c r="AK366" s="806"/>
      <c r="AL366" s="806"/>
      <c r="AM366" s="806"/>
      <c r="AN366" s="806"/>
      <c r="AO366" s="806"/>
      <c r="AP366" s="806"/>
      <c r="AQ366" s="806"/>
      <c r="AR366" s="806"/>
      <c r="AS366" s="806"/>
      <c r="AT366" s="806"/>
      <c r="AU366" s="806"/>
      <c r="AV366" s="806"/>
      <c r="AW366" s="806"/>
      <c r="AX366" s="806"/>
      <c r="AY366" s="600"/>
    </row>
    <row r="367" spans="1:51" ht="28.9" customHeight="1" x14ac:dyDescent="0.25">
      <c r="A367" s="828"/>
      <c r="B367" s="822"/>
      <c r="C367" s="822"/>
      <c r="D367" s="578" t="s">
        <v>352</v>
      </c>
      <c r="E367" s="582"/>
      <c r="F367" s="582"/>
      <c r="G367" s="582"/>
      <c r="H367" s="582"/>
      <c r="I367" s="574"/>
      <c r="J367" s="574"/>
      <c r="K367" s="574"/>
      <c r="L367" s="574"/>
      <c r="M367" s="574"/>
      <c r="N367" s="573"/>
      <c r="O367" s="573"/>
      <c r="P367" s="574"/>
      <c r="Q367" s="580"/>
      <c r="R367" s="580"/>
      <c r="S367" s="580"/>
      <c r="T367" s="581"/>
      <c r="U367" s="580"/>
      <c r="V367" s="580"/>
      <c r="W367" s="580"/>
      <c r="X367" s="580"/>
      <c r="Y367" s="580"/>
      <c r="Z367" s="574"/>
      <c r="AA367" s="574"/>
      <c r="AB367" s="574"/>
      <c r="AC367" s="580">
        <f t="shared" si="91"/>
        <v>0</v>
      </c>
      <c r="AD367" s="580">
        <f t="shared" si="91"/>
        <v>0</v>
      </c>
      <c r="AE367" s="580">
        <f t="shared" si="91"/>
        <v>0</v>
      </c>
      <c r="AF367" s="822"/>
      <c r="AG367" s="828"/>
      <c r="AH367" s="822"/>
      <c r="AI367" s="822"/>
      <c r="AJ367" s="822"/>
      <c r="AK367" s="806"/>
      <c r="AL367" s="806"/>
      <c r="AM367" s="806"/>
      <c r="AN367" s="806"/>
      <c r="AO367" s="806"/>
      <c r="AP367" s="806"/>
      <c r="AQ367" s="806"/>
      <c r="AR367" s="806"/>
      <c r="AS367" s="806"/>
      <c r="AT367" s="806"/>
      <c r="AU367" s="806"/>
      <c r="AV367" s="806"/>
      <c r="AW367" s="806"/>
      <c r="AX367" s="806"/>
      <c r="AY367" s="600"/>
    </row>
    <row r="368" spans="1:51" ht="28.9" customHeight="1" x14ac:dyDescent="0.25">
      <c r="A368" s="828"/>
      <c r="B368" s="822"/>
      <c r="C368" s="822"/>
      <c r="D368" s="579" t="s">
        <v>353</v>
      </c>
      <c r="E368" s="582"/>
      <c r="F368" s="582"/>
      <c r="G368" s="582"/>
      <c r="H368" s="582"/>
      <c r="I368" s="580"/>
      <c r="J368" s="580"/>
      <c r="K368" s="580"/>
      <c r="L368" s="580"/>
      <c r="M368" s="580"/>
      <c r="N368" s="586"/>
      <c r="O368" s="573"/>
      <c r="P368" s="580">
        <v>311</v>
      </c>
      <c r="Q368" s="580">
        <v>311</v>
      </c>
      <c r="R368" s="580">
        <v>311</v>
      </c>
      <c r="S368" s="580"/>
      <c r="T368" s="574"/>
      <c r="U368" s="581"/>
      <c r="V368" s="581"/>
      <c r="W368" s="581"/>
      <c r="X368" s="581"/>
      <c r="Y368" s="581"/>
      <c r="Z368" s="581"/>
      <c r="AA368" s="581"/>
      <c r="AB368" s="574"/>
      <c r="AC368" s="580">
        <f t="shared" si="91"/>
        <v>311</v>
      </c>
      <c r="AD368" s="580">
        <f t="shared" si="91"/>
        <v>311</v>
      </c>
      <c r="AE368" s="580">
        <f t="shared" si="91"/>
        <v>311</v>
      </c>
      <c r="AF368" s="822"/>
      <c r="AG368" s="828"/>
      <c r="AH368" s="822"/>
      <c r="AI368" s="822"/>
      <c r="AJ368" s="822"/>
      <c r="AK368" s="806"/>
      <c r="AL368" s="806"/>
      <c r="AM368" s="806"/>
      <c r="AN368" s="806"/>
      <c r="AO368" s="806"/>
      <c r="AP368" s="806"/>
      <c r="AQ368" s="806"/>
      <c r="AR368" s="806"/>
      <c r="AS368" s="806"/>
      <c r="AT368" s="806"/>
      <c r="AU368" s="806"/>
      <c r="AV368" s="806"/>
      <c r="AW368" s="806"/>
      <c r="AX368" s="806"/>
      <c r="AY368" s="600"/>
    </row>
    <row r="369" spans="1:51" ht="28.9" customHeight="1" x14ac:dyDescent="0.25">
      <c r="A369" s="828"/>
      <c r="B369" s="822"/>
      <c r="C369" s="823"/>
      <c r="D369" s="578" t="s">
        <v>354</v>
      </c>
      <c r="E369" s="582"/>
      <c r="F369" s="582"/>
      <c r="G369" s="573"/>
      <c r="H369" s="582"/>
      <c r="I369" s="580"/>
      <c r="J369" s="580"/>
      <c r="K369" s="580"/>
      <c r="L369" s="580"/>
      <c r="M369" s="580"/>
      <c r="N369" s="582"/>
      <c r="O369" s="573"/>
      <c r="P369" s="574">
        <f t="shared" ref="P369:R369" si="94">+P365</f>
        <v>1869840.2033775195</v>
      </c>
      <c r="Q369" s="574">
        <f t="shared" si="94"/>
        <v>1797069.8080279231</v>
      </c>
      <c r="R369" s="574">
        <f t="shared" si="94"/>
        <v>1896879.4326241135</v>
      </c>
      <c r="S369" s="574"/>
      <c r="T369" s="574"/>
      <c r="U369" s="580"/>
      <c r="V369" s="580"/>
      <c r="W369" s="580"/>
      <c r="X369" s="580"/>
      <c r="Y369" s="580"/>
      <c r="Z369" s="580"/>
      <c r="AA369" s="580"/>
      <c r="AB369" s="574"/>
      <c r="AC369" s="580">
        <f t="shared" si="91"/>
        <v>1869840.2033775195</v>
      </c>
      <c r="AD369" s="580">
        <f t="shared" si="91"/>
        <v>1797069.8080279231</v>
      </c>
      <c r="AE369" s="574">
        <f t="shared" si="91"/>
        <v>1896879.4326241135</v>
      </c>
      <c r="AF369" s="823"/>
      <c r="AG369" s="829"/>
      <c r="AH369" s="823"/>
      <c r="AI369" s="823"/>
      <c r="AJ369" s="823"/>
      <c r="AK369" s="807"/>
      <c r="AL369" s="807"/>
      <c r="AM369" s="807"/>
      <c r="AN369" s="807"/>
      <c r="AO369" s="807"/>
      <c r="AP369" s="807"/>
      <c r="AQ369" s="807"/>
      <c r="AR369" s="807"/>
      <c r="AS369" s="807"/>
      <c r="AT369" s="807"/>
      <c r="AU369" s="807"/>
      <c r="AV369" s="807"/>
      <c r="AW369" s="807"/>
      <c r="AX369" s="807"/>
      <c r="AY369" s="600"/>
    </row>
    <row r="370" spans="1:51" ht="19.149999999999999" customHeight="1" x14ac:dyDescent="0.25">
      <c r="A370" s="828"/>
      <c r="B370" s="822"/>
      <c r="C370" s="821" t="s">
        <v>598</v>
      </c>
      <c r="D370" s="572" t="s">
        <v>345</v>
      </c>
      <c r="E370" s="582"/>
      <c r="F370" s="582"/>
      <c r="G370" s="582"/>
      <c r="H370" s="573">
        <v>5400</v>
      </c>
      <c r="I370" s="580">
        <v>4750</v>
      </c>
      <c r="J370" s="580">
        <v>4150</v>
      </c>
      <c r="K370" s="580">
        <v>3550</v>
      </c>
      <c r="L370" s="580">
        <v>2935</v>
      </c>
      <c r="M370" s="580">
        <v>2360</v>
      </c>
      <c r="N370" s="582">
        <v>1689</v>
      </c>
      <c r="O370" s="573">
        <v>1104</v>
      </c>
      <c r="P370" s="580">
        <v>493</v>
      </c>
      <c r="Q370" s="580">
        <v>270</v>
      </c>
      <c r="R370" s="580">
        <v>78</v>
      </c>
      <c r="S370" s="580"/>
      <c r="T370" s="581"/>
      <c r="U370" s="581"/>
      <c r="V370" s="581"/>
      <c r="W370" s="581"/>
      <c r="X370" s="581"/>
      <c r="Y370" s="581"/>
      <c r="Z370" s="581"/>
      <c r="AA370" s="581"/>
      <c r="AB370" s="599"/>
      <c r="AC370" s="576"/>
      <c r="AD370" s="588"/>
      <c r="AE370" s="580"/>
      <c r="AF370" s="666"/>
      <c r="AG370" s="827"/>
      <c r="AH370" s="824"/>
      <c r="AI370" s="824"/>
      <c r="AJ370" s="821"/>
      <c r="AK370" s="826"/>
      <c r="AL370" s="826"/>
      <c r="AM370" s="826"/>
      <c r="AN370" s="820">
        <v>7936532</v>
      </c>
      <c r="AO370" s="820">
        <v>3799681</v>
      </c>
      <c r="AP370" s="820">
        <v>4136851</v>
      </c>
      <c r="AQ370" s="805" t="s">
        <v>492</v>
      </c>
      <c r="AR370" s="805" t="s">
        <v>492</v>
      </c>
      <c r="AS370" s="805" t="s">
        <v>492</v>
      </c>
      <c r="AT370" s="805" t="s">
        <v>492</v>
      </c>
      <c r="AU370" s="805" t="s">
        <v>492</v>
      </c>
      <c r="AV370" s="805" t="s">
        <v>492</v>
      </c>
      <c r="AW370" s="805" t="s">
        <v>492</v>
      </c>
      <c r="AX370" s="808">
        <v>7936532</v>
      </c>
      <c r="AY370" s="600"/>
    </row>
    <row r="371" spans="1:51" ht="19.149999999999999" customHeight="1" x14ac:dyDescent="0.25">
      <c r="A371" s="828"/>
      <c r="B371" s="822"/>
      <c r="C371" s="822"/>
      <c r="D371" s="578" t="s">
        <v>349</v>
      </c>
      <c r="E371" s="582"/>
      <c r="F371" s="582"/>
      <c r="G371" s="573"/>
      <c r="H371" s="582">
        <v>0</v>
      </c>
      <c r="I371" s="580">
        <v>0</v>
      </c>
      <c r="J371" s="580">
        <v>0</v>
      </c>
      <c r="K371" s="580">
        <v>0</v>
      </c>
      <c r="L371" s="580">
        <v>0</v>
      </c>
      <c r="M371" s="580">
        <f t="shared" ref="M371:R371" si="95">+M251-Z251</f>
        <v>3010000</v>
      </c>
      <c r="N371" s="582">
        <f t="shared" si="95"/>
        <v>3010000</v>
      </c>
      <c r="O371" s="582">
        <f t="shared" si="95"/>
        <v>3010000</v>
      </c>
      <c r="P371" s="580">
        <f t="shared" si="95"/>
        <v>3010000</v>
      </c>
      <c r="Q371" s="580">
        <f t="shared" si="95"/>
        <v>3010000</v>
      </c>
      <c r="R371" s="580">
        <f t="shared" si="95"/>
        <v>0</v>
      </c>
      <c r="S371" s="580"/>
      <c r="T371" s="581"/>
      <c r="U371" s="580"/>
      <c r="V371" s="581"/>
      <c r="W371" s="581"/>
      <c r="X371" s="581"/>
      <c r="Y371" s="581"/>
      <c r="Z371" s="581"/>
      <c r="AA371" s="581"/>
      <c r="AB371" s="587"/>
      <c r="AC371" s="580"/>
      <c r="AD371" s="588"/>
      <c r="AE371" s="580"/>
      <c r="AF371" s="666"/>
      <c r="AG371" s="828"/>
      <c r="AH371" s="822"/>
      <c r="AI371" s="822"/>
      <c r="AJ371" s="822"/>
      <c r="AK371" s="806"/>
      <c r="AL371" s="806"/>
      <c r="AM371" s="806"/>
      <c r="AN371" s="806"/>
      <c r="AO371" s="806"/>
      <c r="AP371" s="806"/>
      <c r="AQ371" s="806"/>
      <c r="AR371" s="806"/>
      <c r="AS371" s="806"/>
      <c r="AT371" s="806"/>
      <c r="AU371" s="806"/>
      <c r="AV371" s="806"/>
      <c r="AW371" s="806"/>
      <c r="AX371" s="806"/>
      <c r="AY371" s="600"/>
    </row>
    <row r="372" spans="1:51" ht="28.9" customHeight="1" x14ac:dyDescent="0.25">
      <c r="A372" s="828"/>
      <c r="B372" s="822"/>
      <c r="C372" s="822"/>
      <c r="D372" s="579" t="s">
        <v>351</v>
      </c>
      <c r="E372" s="582"/>
      <c r="F372" s="582"/>
      <c r="G372" s="582"/>
      <c r="H372" s="582">
        <v>0</v>
      </c>
      <c r="I372" s="580"/>
      <c r="J372" s="580"/>
      <c r="K372" s="580"/>
      <c r="L372" s="580"/>
      <c r="M372" s="580"/>
      <c r="N372" s="586"/>
      <c r="O372" s="573"/>
      <c r="P372" s="580"/>
      <c r="Q372" s="580"/>
      <c r="R372" s="580"/>
      <c r="S372" s="580"/>
      <c r="T372" s="581"/>
      <c r="U372" s="581"/>
      <c r="V372" s="581"/>
      <c r="W372" s="581"/>
      <c r="X372" s="581"/>
      <c r="Y372" s="581"/>
      <c r="Z372" s="581"/>
      <c r="AA372" s="581"/>
      <c r="AB372" s="587"/>
      <c r="AC372" s="576"/>
      <c r="AD372" s="588"/>
      <c r="AE372" s="580"/>
      <c r="AF372" s="666"/>
      <c r="AG372" s="828"/>
      <c r="AH372" s="822"/>
      <c r="AI372" s="822"/>
      <c r="AJ372" s="822"/>
      <c r="AK372" s="806"/>
      <c r="AL372" s="806"/>
      <c r="AM372" s="806"/>
      <c r="AN372" s="806"/>
      <c r="AO372" s="806"/>
      <c r="AP372" s="806"/>
      <c r="AQ372" s="806"/>
      <c r="AR372" s="806"/>
      <c r="AS372" s="806"/>
      <c r="AT372" s="806"/>
      <c r="AU372" s="806"/>
      <c r="AV372" s="806"/>
      <c r="AW372" s="806"/>
      <c r="AX372" s="806"/>
      <c r="AY372" s="600"/>
    </row>
    <row r="373" spans="1:51" ht="28.9" customHeight="1" x14ac:dyDescent="0.25">
      <c r="A373" s="828"/>
      <c r="B373" s="822"/>
      <c r="C373" s="822"/>
      <c r="D373" s="578" t="s">
        <v>352</v>
      </c>
      <c r="E373" s="582"/>
      <c r="F373" s="582"/>
      <c r="G373" s="582"/>
      <c r="H373" s="582">
        <v>109209</v>
      </c>
      <c r="I373" s="580">
        <v>80484</v>
      </c>
      <c r="J373" s="574">
        <v>52184</v>
      </c>
      <c r="K373" s="574">
        <v>52184</v>
      </c>
      <c r="L373" s="574">
        <v>0</v>
      </c>
      <c r="M373" s="574"/>
      <c r="N373" s="573"/>
      <c r="O373" s="573"/>
      <c r="P373" s="580"/>
      <c r="Q373" s="580"/>
      <c r="R373" s="580"/>
      <c r="S373" s="580"/>
      <c r="T373" s="581"/>
      <c r="U373" s="581"/>
      <c r="V373" s="581"/>
      <c r="W373" s="581"/>
      <c r="X373" s="581"/>
      <c r="Y373" s="581"/>
      <c r="Z373" s="581"/>
      <c r="AA373" s="581"/>
      <c r="AB373" s="587"/>
      <c r="AC373" s="576"/>
      <c r="AD373" s="588"/>
      <c r="AE373" s="580"/>
      <c r="AF373" s="666"/>
      <c r="AG373" s="828"/>
      <c r="AH373" s="822"/>
      <c r="AI373" s="822"/>
      <c r="AJ373" s="822"/>
      <c r="AK373" s="806"/>
      <c r="AL373" s="806"/>
      <c r="AM373" s="806"/>
      <c r="AN373" s="806"/>
      <c r="AO373" s="806"/>
      <c r="AP373" s="806"/>
      <c r="AQ373" s="806"/>
      <c r="AR373" s="806"/>
      <c r="AS373" s="806"/>
      <c r="AT373" s="806"/>
      <c r="AU373" s="806"/>
      <c r="AV373" s="806"/>
      <c r="AW373" s="806"/>
      <c r="AX373" s="806"/>
      <c r="AY373" s="600"/>
    </row>
    <row r="374" spans="1:51" ht="28.9" customHeight="1" x14ac:dyDescent="0.25">
      <c r="A374" s="828"/>
      <c r="B374" s="822"/>
      <c r="C374" s="822"/>
      <c r="D374" s="579" t="s">
        <v>353</v>
      </c>
      <c r="E374" s="582"/>
      <c r="F374" s="582"/>
      <c r="G374" s="582"/>
      <c r="H374" s="573">
        <v>5400</v>
      </c>
      <c r="I374" s="580">
        <v>4750</v>
      </c>
      <c r="J374" s="580">
        <v>4150</v>
      </c>
      <c r="K374" s="580">
        <v>3550</v>
      </c>
      <c r="L374" s="580">
        <v>2935</v>
      </c>
      <c r="M374" s="580">
        <v>2360</v>
      </c>
      <c r="N374" s="582">
        <v>1689</v>
      </c>
      <c r="O374" s="582">
        <v>1104</v>
      </c>
      <c r="P374" s="580">
        <v>493</v>
      </c>
      <c r="Q374" s="580">
        <v>270</v>
      </c>
      <c r="R374" s="580">
        <v>78</v>
      </c>
      <c r="S374" s="580"/>
      <c r="T374" s="581"/>
      <c r="U374" s="581"/>
      <c r="V374" s="581"/>
      <c r="W374" s="581"/>
      <c r="X374" s="581"/>
      <c r="Y374" s="581"/>
      <c r="Z374" s="581"/>
      <c r="AA374" s="581"/>
      <c r="AB374" s="587"/>
      <c r="AC374" s="576"/>
      <c r="AD374" s="588"/>
      <c r="AE374" s="580"/>
      <c r="AF374" s="666"/>
      <c r="AG374" s="828"/>
      <c r="AH374" s="822"/>
      <c r="AI374" s="822"/>
      <c r="AJ374" s="822"/>
      <c r="AK374" s="806"/>
      <c r="AL374" s="806"/>
      <c r="AM374" s="806"/>
      <c r="AN374" s="806"/>
      <c r="AO374" s="806"/>
      <c r="AP374" s="806"/>
      <c r="AQ374" s="806"/>
      <c r="AR374" s="806"/>
      <c r="AS374" s="806"/>
      <c r="AT374" s="806"/>
      <c r="AU374" s="806"/>
      <c r="AV374" s="806"/>
      <c r="AW374" s="806"/>
      <c r="AX374" s="806"/>
      <c r="AY374" s="600"/>
    </row>
    <row r="375" spans="1:51" ht="28.9" customHeight="1" x14ac:dyDescent="0.25">
      <c r="A375" s="828"/>
      <c r="B375" s="822"/>
      <c r="C375" s="823"/>
      <c r="D375" s="578" t="s">
        <v>354</v>
      </c>
      <c r="E375" s="582"/>
      <c r="F375" s="582"/>
      <c r="G375" s="573"/>
      <c r="H375" s="582">
        <v>109209</v>
      </c>
      <c r="I375" s="580">
        <v>80484</v>
      </c>
      <c r="J375" s="580">
        <v>52184</v>
      </c>
      <c r="K375" s="580">
        <v>52184</v>
      </c>
      <c r="L375" s="580">
        <v>0</v>
      </c>
      <c r="M375" s="580">
        <f t="shared" ref="M375:R375" si="96">+M371</f>
        <v>3010000</v>
      </c>
      <c r="N375" s="582">
        <f t="shared" si="96"/>
        <v>3010000</v>
      </c>
      <c r="O375" s="582">
        <f t="shared" si="96"/>
        <v>3010000</v>
      </c>
      <c r="P375" s="580">
        <f t="shared" si="96"/>
        <v>3010000</v>
      </c>
      <c r="Q375" s="580">
        <f t="shared" si="96"/>
        <v>3010000</v>
      </c>
      <c r="R375" s="580">
        <f t="shared" si="96"/>
        <v>0</v>
      </c>
      <c r="S375" s="580"/>
      <c r="T375" s="581"/>
      <c r="U375" s="581"/>
      <c r="V375" s="581"/>
      <c r="W375" s="581"/>
      <c r="X375" s="581"/>
      <c r="Y375" s="581"/>
      <c r="Z375" s="581"/>
      <c r="AA375" s="581"/>
      <c r="AB375" s="587"/>
      <c r="AC375" s="576"/>
      <c r="AD375" s="588"/>
      <c r="AE375" s="580"/>
      <c r="AF375" s="666"/>
      <c r="AG375" s="829"/>
      <c r="AH375" s="823"/>
      <c r="AI375" s="823"/>
      <c r="AJ375" s="823"/>
      <c r="AK375" s="807"/>
      <c r="AL375" s="807"/>
      <c r="AM375" s="807"/>
      <c r="AN375" s="807"/>
      <c r="AO375" s="807"/>
      <c r="AP375" s="807"/>
      <c r="AQ375" s="807"/>
      <c r="AR375" s="807"/>
      <c r="AS375" s="807"/>
      <c r="AT375" s="807"/>
      <c r="AU375" s="807"/>
      <c r="AV375" s="807"/>
      <c r="AW375" s="807"/>
      <c r="AX375" s="807"/>
      <c r="AY375" s="600"/>
    </row>
    <row r="376" spans="1:51" ht="19.149999999999999" customHeight="1" x14ac:dyDescent="0.25">
      <c r="A376" s="828"/>
      <c r="B376" s="822"/>
      <c r="C376" s="821" t="s">
        <v>599</v>
      </c>
      <c r="D376" s="572" t="s">
        <v>345</v>
      </c>
      <c r="E376" s="582">
        <v>6000</v>
      </c>
      <c r="F376" s="582">
        <v>6000</v>
      </c>
      <c r="G376" s="582">
        <v>6000</v>
      </c>
      <c r="H376" s="582">
        <v>6000</v>
      </c>
      <c r="I376" s="580">
        <v>6000</v>
      </c>
      <c r="J376" s="580">
        <v>6000</v>
      </c>
      <c r="K376" s="580">
        <v>6000</v>
      </c>
      <c r="L376" s="580">
        <v>6000</v>
      </c>
      <c r="M376" s="580">
        <f t="shared" ref="M376:M381" si="97">M262+M268+M274+M286+M292+M310+M322+M328+M334+M340+M346+M352+M370</f>
        <v>6000</v>
      </c>
      <c r="N376" s="582">
        <f t="shared" ref="N376:N381" si="98">N262+N268+N274+N286+N292+N298+N310+N322+N328+N334+N340+N346+N352+N370</f>
        <v>6000</v>
      </c>
      <c r="O376" s="582">
        <f t="shared" ref="O376:O381" si="99">O256+O262+O268+O274+O286+O292+O298+O310+O322+O328+O334+O340+O346+O352+O370</f>
        <v>6000</v>
      </c>
      <c r="P376" s="580">
        <f t="shared" ref="P376:P381" si="100">P256+P262+P268+P274+P286+P292+P298+P310+P322+P328+P334+P340+P346+P352+P358+P364+P370</f>
        <v>6000</v>
      </c>
      <c r="Q376" s="580">
        <f t="shared" ref="Q376:Q381" si="101">Q256+Q262+Q268+Q274+Q286+Q292+Q298+Q304+Q310+Q322+Q328+Q334+Q340+Q346+Q352+Q358+Q364+Q370</f>
        <v>6000</v>
      </c>
      <c r="R376" s="580">
        <f t="shared" ref="R376:R381" si="102">R256+R262+R268+R274+R280+R286+R292+R298+R304+R310+R316+R322+R328+R334+R340+R346+R352+R358+R364+R370</f>
        <v>6000</v>
      </c>
      <c r="S376" s="580"/>
      <c r="T376" s="580">
        <v>0</v>
      </c>
      <c r="U376" s="580">
        <v>600</v>
      </c>
      <c r="V376" s="580">
        <v>1250</v>
      </c>
      <c r="W376" s="580">
        <v>1850</v>
      </c>
      <c r="X376" s="580">
        <v>2450</v>
      </c>
      <c r="Y376" s="580">
        <v>3065</v>
      </c>
      <c r="Z376" s="580">
        <f t="shared" ref="Z376:Z381" si="103">Z262+Z268+Z274+Z286+Z292+Z310+Z322+Z328+Z334+Z340+Z346+Z352</f>
        <v>3640</v>
      </c>
      <c r="AA376" s="580">
        <f t="shared" ref="AA376:AA381" si="104">AA262+AA268+AA274+AA286+AA292+AA298+AA310+AA322+AA328+AA334+AA340+AA346+AA352+AA370</f>
        <v>4311</v>
      </c>
      <c r="AB376" s="580">
        <f t="shared" ref="AB376:AB381" si="105">AB256+AB262+AB268+AB274+AB286+AB292+AB298+AB310+AB322+AB328+AB334+AB340+AB346+AB352+AB370</f>
        <v>4896</v>
      </c>
      <c r="AC376" s="580">
        <f t="shared" ref="AC376:AC381" si="106">AC256+AC262+AC268+AC274+AC286+AC292+AC298+AC310+AC322+AC328+AC334+AC340+AC346+AC352+AC358+AC364+AC370</f>
        <v>5507</v>
      </c>
      <c r="AD376" s="580">
        <f t="shared" ref="AD376:AD381" si="107">AD256+AD262+AD268+AD274+AD286+AD292+AD298+AD310+AD322+AD304+AD328+AD334+AD340+AD346+AD352+AD358+AD364+AD370</f>
        <v>5730</v>
      </c>
      <c r="AE376" s="580">
        <f t="shared" ref="AE376:AE381" si="108">AE256+AE262+AE268+AE274+AE280+AE286+AE292+AE298+AE304+AE310+AE316+AE322+AE328+AE334+AE340+AE346+AE352+AE358+AE364+AE370</f>
        <v>5922</v>
      </c>
      <c r="AF376" s="666"/>
      <c r="AG376" s="827" t="s">
        <v>489</v>
      </c>
      <c r="AH376" s="824" t="s">
        <v>178</v>
      </c>
      <c r="AI376" s="824" t="s">
        <v>178</v>
      </c>
      <c r="AJ376" s="824" t="s">
        <v>178</v>
      </c>
      <c r="AK376" s="826" t="s">
        <v>490</v>
      </c>
      <c r="AL376" s="826" t="s">
        <v>178</v>
      </c>
      <c r="AM376" s="826" t="s">
        <v>672</v>
      </c>
      <c r="AN376" s="820">
        <v>7968095</v>
      </c>
      <c r="AO376" s="820">
        <v>3815676</v>
      </c>
      <c r="AP376" s="820">
        <v>4152419</v>
      </c>
      <c r="AQ376" s="805" t="s">
        <v>492</v>
      </c>
      <c r="AR376" s="805" t="s">
        <v>492</v>
      </c>
      <c r="AS376" s="805" t="s">
        <v>492</v>
      </c>
      <c r="AT376" s="805" t="s">
        <v>492</v>
      </c>
      <c r="AU376" s="805" t="s">
        <v>492</v>
      </c>
      <c r="AV376" s="805" t="s">
        <v>492</v>
      </c>
      <c r="AW376" s="805" t="s">
        <v>492</v>
      </c>
      <c r="AX376" s="808">
        <v>7936532</v>
      </c>
      <c r="AY376" s="600"/>
    </row>
    <row r="377" spans="1:51" ht="19.149999999999999" customHeight="1" x14ac:dyDescent="0.25">
      <c r="A377" s="828"/>
      <c r="B377" s="822"/>
      <c r="C377" s="822"/>
      <c r="D377" s="578" t="s">
        <v>349</v>
      </c>
      <c r="E377" s="582">
        <v>33110000</v>
      </c>
      <c r="F377" s="582">
        <v>33110000</v>
      </c>
      <c r="G377" s="582">
        <v>33110000</v>
      </c>
      <c r="H377" s="582">
        <v>33110000</v>
      </c>
      <c r="I377" s="580">
        <v>33110000</v>
      </c>
      <c r="J377" s="580">
        <v>33110000</v>
      </c>
      <c r="K377" s="580">
        <v>33110000</v>
      </c>
      <c r="L377" s="580">
        <v>33110000.000000004</v>
      </c>
      <c r="M377" s="580">
        <f t="shared" si="97"/>
        <v>36120000</v>
      </c>
      <c r="N377" s="582">
        <f t="shared" si="98"/>
        <v>36120000</v>
      </c>
      <c r="O377" s="582">
        <f t="shared" si="99"/>
        <v>36120000</v>
      </c>
      <c r="P377" s="580">
        <f t="shared" si="100"/>
        <v>36120000</v>
      </c>
      <c r="Q377" s="580">
        <f t="shared" si="101"/>
        <v>36120000</v>
      </c>
      <c r="R377" s="580">
        <f t="shared" si="102"/>
        <v>36120000</v>
      </c>
      <c r="S377" s="580"/>
      <c r="T377" s="580">
        <v>0</v>
      </c>
      <c r="U377" s="580">
        <v>33110000</v>
      </c>
      <c r="V377" s="580">
        <v>33110000</v>
      </c>
      <c r="W377" s="580">
        <v>33110000</v>
      </c>
      <c r="X377" s="580">
        <v>33110000</v>
      </c>
      <c r="Y377" s="580">
        <v>33110000.000000004</v>
      </c>
      <c r="Z377" s="580">
        <f t="shared" si="103"/>
        <v>33110000</v>
      </c>
      <c r="AA377" s="580">
        <f t="shared" si="104"/>
        <v>33110000.000000004</v>
      </c>
      <c r="AB377" s="580">
        <f t="shared" si="105"/>
        <v>33110000</v>
      </c>
      <c r="AC377" s="580">
        <f t="shared" si="106"/>
        <v>33110000.000000004</v>
      </c>
      <c r="AD377" s="580">
        <f t="shared" si="107"/>
        <v>33110000</v>
      </c>
      <c r="AE377" s="580">
        <f t="shared" si="108"/>
        <v>36120000</v>
      </c>
      <c r="AF377" s="666"/>
      <c r="AG377" s="828"/>
      <c r="AH377" s="822"/>
      <c r="AI377" s="822"/>
      <c r="AJ377" s="822"/>
      <c r="AK377" s="806"/>
      <c r="AL377" s="806"/>
      <c r="AM377" s="806"/>
      <c r="AN377" s="806"/>
      <c r="AO377" s="806"/>
      <c r="AP377" s="806"/>
      <c r="AQ377" s="806"/>
      <c r="AR377" s="806"/>
      <c r="AS377" s="806"/>
      <c r="AT377" s="806"/>
      <c r="AU377" s="806"/>
      <c r="AV377" s="806"/>
      <c r="AW377" s="806"/>
      <c r="AX377" s="806"/>
      <c r="AY377" s="600"/>
    </row>
    <row r="378" spans="1:51" ht="28.9" customHeight="1" x14ac:dyDescent="0.25">
      <c r="A378" s="828"/>
      <c r="B378" s="822"/>
      <c r="C378" s="822"/>
      <c r="D378" s="579" t="s">
        <v>351</v>
      </c>
      <c r="E378" s="582">
        <v>0</v>
      </c>
      <c r="F378" s="582">
        <v>0</v>
      </c>
      <c r="G378" s="582">
        <v>0</v>
      </c>
      <c r="H378" s="582">
        <v>0</v>
      </c>
      <c r="I378" s="580">
        <v>0</v>
      </c>
      <c r="J378" s="580">
        <v>0</v>
      </c>
      <c r="K378" s="580">
        <v>0</v>
      </c>
      <c r="L378" s="580">
        <v>0</v>
      </c>
      <c r="M378" s="580">
        <f t="shared" si="97"/>
        <v>0</v>
      </c>
      <c r="N378" s="582">
        <f t="shared" si="98"/>
        <v>0</v>
      </c>
      <c r="O378" s="582">
        <f t="shared" si="99"/>
        <v>0</v>
      </c>
      <c r="P378" s="580">
        <f t="shared" si="100"/>
        <v>0</v>
      </c>
      <c r="Q378" s="580">
        <f t="shared" si="101"/>
        <v>0</v>
      </c>
      <c r="R378" s="580">
        <f t="shared" si="102"/>
        <v>0</v>
      </c>
      <c r="S378" s="580"/>
      <c r="T378" s="580">
        <v>0</v>
      </c>
      <c r="U378" s="580">
        <v>0</v>
      </c>
      <c r="V378" s="580">
        <v>0</v>
      </c>
      <c r="W378" s="580">
        <v>0</v>
      </c>
      <c r="X378" s="580">
        <v>0</v>
      </c>
      <c r="Y378" s="580">
        <v>0</v>
      </c>
      <c r="Z378" s="580">
        <f t="shared" si="103"/>
        <v>0</v>
      </c>
      <c r="AA378" s="580">
        <f t="shared" si="104"/>
        <v>0</v>
      </c>
      <c r="AB378" s="580">
        <f t="shared" si="105"/>
        <v>0</v>
      </c>
      <c r="AC378" s="580">
        <f t="shared" si="106"/>
        <v>0</v>
      </c>
      <c r="AD378" s="580">
        <f t="shared" si="107"/>
        <v>0</v>
      </c>
      <c r="AE378" s="580">
        <f t="shared" si="108"/>
        <v>0</v>
      </c>
      <c r="AF378" s="666"/>
      <c r="AG378" s="828"/>
      <c r="AH378" s="822"/>
      <c r="AI378" s="822"/>
      <c r="AJ378" s="822"/>
      <c r="AK378" s="806"/>
      <c r="AL378" s="806"/>
      <c r="AM378" s="806"/>
      <c r="AN378" s="806"/>
      <c r="AO378" s="806"/>
      <c r="AP378" s="806"/>
      <c r="AQ378" s="806"/>
      <c r="AR378" s="806"/>
      <c r="AS378" s="806"/>
      <c r="AT378" s="806"/>
      <c r="AU378" s="806"/>
      <c r="AV378" s="806"/>
      <c r="AW378" s="806"/>
      <c r="AX378" s="806"/>
      <c r="AY378" s="600"/>
    </row>
    <row r="379" spans="1:51" ht="28.9" customHeight="1" x14ac:dyDescent="0.25">
      <c r="A379" s="828"/>
      <c r="B379" s="822"/>
      <c r="C379" s="822"/>
      <c r="D379" s="578" t="s">
        <v>352</v>
      </c>
      <c r="E379" s="582">
        <v>2515517</v>
      </c>
      <c r="F379" s="582">
        <v>2515517</v>
      </c>
      <c r="G379" s="582">
        <v>2515517</v>
      </c>
      <c r="H379" s="582">
        <v>2515517</v>
      </c>
      <c r="I379" s="580">
        <v>2515517</v>
      </c>
      <c r="J379" s="580">
        <v>2515517</v>
      </c>
      <c r="K379" s="580">
        <v>2515517</v>
      </c>
      <c r="L379" s="580">
        <v>2463333</v>
      </c>
      <c r="M379" s="580">
        <f t="shared" si="97"/>
        <v>2463333</v>
      </c>
      <c r="N379" s="582">
        <f t="shared" si="98"/>
        <v>2463333</v>
      </c>
      <c r="O379" s="582">
        <f t="shared" si="99"/>
        <v>2463333</v>
      </c>
      <c r="P379" s="580">
        <f t="shared" si="100"/>
        <v>2463333</v>
      </c>
      <c r="Q379" s="580">
        <f t="shared" si="101"/>
        <v>2463333</v>
      </c>
      <c r="R379" s="580">
        <f t="shared" si="102"/>
        <v>2463333</v>
      </c>
      <c r="S379" s="580"/>
      <c r="T379" s="580">
        <v>2377583</v>
      </c>
      <c r="U379" s="580">
        <v>2406308</v>
      </c>
      <c r="V379" s="580">
        <v>2435033</v>
      </c>
      <c r="W379" s="580">
        <v>2463333</v>
      </c>
      <c r="X379" s="580">
        <v>2463333</v>
      </c>
      <c r="Y379" s="580">
        <v>2463333</v>
      </c>
      <c r="Z379" s="580">
        <f t="shared" si="103"/>
        <v>2463333</v>
      </c>
      <c r="AA379" s="580">
        <f t="shared" si="104"/>
        <v>2463333</v>
      </c>
      <c r="AB379" s="580">
        <f t="shared" si="105"/>
        <v>2463333</v>
      </c>
      <c r="AC379" s="580">
        <f t="shared" si="106"/>
        <v>2463333</v>
      </c>
      <c r="AD379" s="580">
        <f t="shared" si="107"/>
        <v>2463333</v>
      </c>
      <c r="AE379" s="580">
        <f t="shared" si="108"/>
        <v>2463333</v>
      </c>
      <c r="AF379" s="666"/>
      <c r="AG379" s="828"/>
      <c r="AH379" s="822"/>
      <c r="AI379" s="822"/>
      <c r="AJ379" s="822"/>
      <c r="AK379" s="806"/>
      <c r="AL379" s="806"/>
      <c r="AM379" s="806"/>
      <c r="AN379" s="806"/>
      <c r="AO379" s="806"/>
      <c r="AP379" s="806"/>
      <c r="AQ379" s="806"/>
      <c r="AR379" s="806"/>
      <c r="AS379" s="806"/>
      <c r="AT379" s="806"/>
      <c r="AU379" s="806"/>
      <c r="AV379" s="806"/>
      <c r="AW379" s="806"/>
      <c r="AX379" s="806"/>
      <c r="AY379" s="600"/>
    </row>
    <row r="380" spans="1:51" ht="28.9" customHeight="1" x14ac:dyDescent="0.25">
      <c r="A380" s="828"/>
      <c r="B380" s="822"/>
      <c r="C380" s="822"/>
      <c r="D380" s="579" t="s">
        <v>353</v>
      </c>
      <c r="E380" s="582">
        <v>6000</v>
      </c>
      <c r="F380" s="582">
        <v>6000</v>
      </c>
      <c r="G380" s="582">
        <v>6000</v>
      </c>
      <c r="H380" s="582">
        <v>6000</v>
      </c>
      <c r="I380" s="580">
        <v>6000</v>
      </c>
      <c r="J380" s="580">
        <v>6000</v>
      </c>
      <c r="K380" s="580">
        <v>6000</v>
      </c>
      <c r="L380" s="580">
        <v>6000</v>
      </c>
      <c r="M380" s="580">
        <f t="shared" si="97"/>
        <v>6000</v>
      </c>
      <c r="N380" s="582">
        <f t="shared" si="98"/>
        <v>6000</v>
      </c>
      <c r="O380" s="582">
        <f t="shared" si="99"/>
        <v>6000</v>
      </c>
      <c r="P380" s="580">
        <f t="shared" si="100"/>
        <v>6000</v>
      </c>
      <c r="Q380" s="580">
        <f t="shared" si="101"/>
        <v>6000</v>
      </c>
      <c r="R380" s="580">
        <f t="shared" si="102"/>
        <v>6000</v>
      </c>
      <c r="S380" s="580"/>
      <c r="T380" s="580">
        <v>0</v>
      </c>
      <c r="U380" s="580">
        <v>600</v>
      </c>
      <c r="V380" s="580">
        <v>1250</v>
      </c>
      <c r="W380" s="580">
        <v>1850</v>
      </c>
      <c r="X380" s="580">
        <v>2450</v>
      </c>
      <c r="Y380" s="580">
        <v>3065</v>
      </c>
      <c r="Z380" s="580">
        <f t="shared" si="103"/>
        <v>3640</v>
      </c>
      <c r="AA380" s="580">
        <f t="shared" si="104"/>
        <v>4311</v>
      </c>
      <c r="AB380" s="580">
        <f t="shared" si="105"/>
        <v>4896</v>
      </c>
      <c r="AC380" s="580">
        <f t="shared" si="106"/>
        <v>5507</v>
      </c>
      <c r="AD380" s="580">
        <f t="shared" si="107"/>
        <v>5730</v>
      </c>
      <c r="AE380" s="580">
        <f t="shared" si="108"/>
        <v>5922</v>
      </c>
      <c r="AF380" s="666"/>
      <c r="AG380" s="828"/>
      <c r="AH380" s="822"/>
      <c r="AI380" s="822"/>
      <c r="AJ380" s="822"/>
      <c r="AK380" s="806"/>
      <c r="AL380" s="806"/>
      <c r="AM380" s="806"/>
      <c r="AN380" s="806"/>
      <c r="AO380" s="806"/>
      <c r="AP380" s="806"/>
      <c r="AQ380" s="806"/>
      <c r="AR380" s="806"/>
      <c r="AS380" s="806"/>
      <c r="AT380" s="806"/>
      <c r="AU380" s="806"/>
      <c r="AV380" s="806"/>
      <c r="AW380" s="806"/>
      <c r="AX380" s="806"/>
      <c r="AY380" s="600"/>
    </row>
    <row r="381" spans="1:51" ht="28.9" customHeight="1" thickBot="1" x14ac:dyDescent="0.3">
      <c r="A381" s="829"/>
      <c r="B381" s="832"/>
      <c r="C381" s="823"/>
      <c r="D381" s="578" t="s">
        <v>354</v>
      </c>
      <c r="E381" s="582">
        <v>35625517</v>
      </c>
      <c r="F381" s="582">
        <v>35625517</v>
      </c>
      <c r="G381" s="582">
        <v>35625517</v>
      </c>
      <c r="H381" s="582">
        <v>35625517</v>
      </c>
      <c r="I381" s="580">
        <v>35625517</v>
      </c>
      <c r="J381" s="580">
        <v>35625517</v>
      </c>
      <c r="K381" s="580">
        <v>35625517</v>
      </c>
      <c r="L381" s="580">
        <v>35573333</v>
      </c>
      <c r="M381" s="580">
        <f t="shared" si="97"/>
        <v>38583333</v>
      </c>
      <c r="N381" s="582">
        <f t="shared" si="98"/>
        <v>38583333</v>
      </c>
      <c r="O381" s="582">
        <f t="shared" si="99"/>
        <v>38583333</v>
      </c>
      <c r="P381" s="580">
        <f t="shared" si="100"/>
        <v>38583333.000000007</v>
      </c>
      <c r="Q381" s="580">
        <f t="shared" si="101"/>
        <v>38583333</v>
      </c>
      <c r="R381" s="580">
        <f t="shared" si="102"/>
        <v>38583333</v>
      </c>
      <c r="S381" s="580"/>
      <c r="T381" s="580">
        <v>2377583</v>
      </c>
      <c r="U381" s="580">
        <v>35516308</v>
      </c>
      <c r="V381" s="580">
        <v>35545033</v>
      </c>
      <c r="W381" s="580">
        <v>35573333</v>
      </c>
      <c r="X381" s="580">
        <v>35573333</v>
      </c>
      <c r="Y381" s="580">
        <v>35573333</v>
      </c>
      <c r="Z381" s="580">
        <f t="shared" si="103"/>
        <v>35573333</v>
      </c>
      <c r="AA381" s="580">
        <f t="shared" si="104"/>
        <v>35573333</v>
      </c>
      <c r="AB381" s="580">
        <f t="shared" si="105"/>
        <v>35573333</v>
      </c>
      <c r="AC381" s="580">
        <f t="shared" si="106"/>
        <v>35573333.000000007</v>
      </c>
      <c r="AD381" s="580">
        <f t="shared" si="107"/>
        <v>35573333</v>
      </c>
      <c r="AE381" s="580">
        <f t="shared" si="108"/>
        <v>38583333</v>
      </c>
      <c r="AF381" s="666"/>
      <c r="AG381" s="829"/>
      <c r="AH381" s="823"/>
      <c r="AI381" s="823"/>
      <c r="AJ381" s="823"/>
      <c r="AK381" s="807"/>
      <c r="AL381" s="807"/>
      <c r="AM381" s="807"/>
      <c r="AN381" s="807"/>
      <c r="AO381" s="807"/>
      <c r="AP381" s="807"/>
      <c r="AQ381" s="807"/>
      <c r="AR381" s="807"/>
      <c r="AS381" s="807"/>
      <c r="AT381" s="807"/>
      <c r="AU381" s="807"/>
      <c r="AV381" s="807"/>
      <c r="AW381" s="807"/>
      <c r="AX381" s="807"/>
      <c r="AY381" s="600"/>
    </row>
    <row r="382" spans="1:51" ht="19.149999999999999" customHeight="1" x14ac:dyDescent="0.25">
      <c r="A382" s="827">
        <v>4</v>
      </c>
      <c r="B382" s="830" t="s">
        <v>362</v>
      </c>
      <c r="C382" s="886" t="s">
        <v>740</v>
      </c>
      <c r="D382" s="572" t="s">
        <v>345</v>
      </c>
      <c r="E382" s="582">
        <v>0.9</v>
      </c>
      <c r="F382" s="582">
        <v>0.9</v>
      </c>
      <c r="G382" s="582">
        <v>0.9</v>
      </c>
      <c r="H382" s="582">
        <v>0.9</v>
      </c>
      <c r="I382" s="580">
        <v>0.9</v>
      </c>
      <c r="J382" s="580">
        <v>0.9</v>
      </c>
      <c r="K382" s="580">
        <v>0.9</v>
      </c>
      <c r="L382" s="580">
        <v>0.9</v>
      </c>
      <c r="M382" s="580">
        <v>0.9</v>
      </c>
      <c r="N382" s="582">
        <v>0.9</v>
      </c>
      <c r="O382" s="582">
        <v>0.90000000000000013</v>
      </c>
      <c r="P382" s="580">
        <v>0.90000000000000013</v>
      </c>
      <c r="Q382" s="580">
        <v>0.90000000000000013</v>
      </c>
      <c r="R382" s="580">
        <v>0.9</v>
      </c>
      <c r="S382" s="580"/>
      <c r="T382" s="593">
        <v>0.66</v>
      </c>
      <c r="U382" s="593">
        <v>0.64</v>
      </c>
      <c r="V382" s="593">
        <v>0.67</v>
      </c>
      <c r="W382" s="593">
        <v>0.71</v>
      </c>
      <c r="X382" s="593">
        <v>0.75000000000000011</v>
      </c>
      <c r="Y382" s="593">
        <v>0.78</v>
      </c>
      <c r="Z382" s="593">
        <v>0.8</v>
      </c>
      <c r="AA382" s="593">
        <v>0.84000000000000008</v>
      </c>
      <c r="AB382" s="610">
        <v>0.87000000000000011</v>
      </c>
      <c r="AC382" s="593">
        <v>0.89000000000000012</v>
      </c>
      <c r="AD382" s="611">
        <v>0.89500000000000013</v>
      </c>
      <c r="AE382" s="580">
        <v>0.90000000000000013</v>
      </c>
      <c r="AF382" s="859" t="s">
        <v>741</v>
      </c>
      <c r="AG382" s="827" t="s">
        <v>489</v>
      </c>
      <c r="AH382" s="824" t="s">
        <v>178</v>
      </c>
      <c r="AI382" s="824" t="s">
        <v>178</v>
      </c>
      <c r="AJ382" s="824" t="s">
        <v>178</v>
      </c>
      <c r="AK382" s="825" t="s">
        <v>490</v>
      </c>
      <c r="AL382" s="826" t="s">
        <v>178</v>
      </c>
      <c r="AM382" s="826" t="s">
        <v>672</v>
      </c>
      <c r="AN382" s="820">
        <v>7968095</v>
      </c>
      <c r="AO382" s="820">
        <v>3815676</v>
      </c>
      <c r="AP382" s="820">
        <v>4152419</v>
      </c>
      <c r="AQ382" s="805" t="s">
        <v>492</v>
      </c>
      <c r="AR382" s="805" t="s">
        <v>492</v>
      </c>
      <c r="AS382" s="805" t="s">
        <v>492</v>
      </c>
      <c r="AT382" s="805" t="s">
        <v>492</v>
      </c>
      <c r="AU382" s="805" t="s">
        <v>492</v>
      </c>
      <c r="AV382" s="805" t="s">
        <v>492</v>
      </c>
      <c r="AW382" s="805" t="s">
        <v>492</v>
      </c>
      <c r="AX382" s="808">
        <v>7936533</v>
      </c>
      <c r="AY382" s="866" t="s">
        <v>742</v>
      </c>
    </row>
    <row r="383" spans="1:51" ht="19.149999999999999" customHeight="1" x14ac:dyDescent="0.25">
      <c r="A383" s="828"/>
      <c r="B383" s="822"/>
      <c r="C383" s="822"/>
      <c r="D383" s="578" t="s">
        <v>349</v>
      </c>
      <c r="E383" s="582">
        <v>86086000</v>
      </c>
      <c r="F383" s="582">
        <v>86086000</v>
      </c>
      <c r="G383" s="582">
        <v>86086000</v>
      </c>
      <c r="H383" s="582">
        <v>86086000</v>
      </c>
      <c r="I383" s="580">
        <v>86086000</v>
      </c>
      <c r="J383" s="580">
        <v>86086000</v>
      </c>
      <c r="K383" s="575">
        <v>86086000</v>
      </c>
      <c r="L383" s="580">
        <v>86086000</v>
      </c>
      <c r="M383" s="580">
        <v>88955534</v>
      </c>
      <c r="N383" s="582">
        <v>88955534</v>
      </c>
      <c r="O383" s="592">
        <v>88955534</v>
      </c>
      <c r="P383" s="580">
        <v>88955534</v>
      </c>
      <c r="Q383" s="580">
        <v>88955534</v>
      </c>
      <c r="R383" s="580">
        <v>88955534</v>
      </c>
      <c r="S383" s="580"/>
      <c r="T383" s="593">
        <v>0</v>
      </c>
      <c r="U383" s="593">
        <v>78260000</v>
      </c>
      <c r="V383" s="593">
        <v>78260000</v>
      </c>
      <c r="W383" s="593">
        <v>78260000</v>
      </c>
      <c r="X383" s="574">
        <v>78260000</v>
      </c>
      <c r="Y383" s="574">
        <v>78260000</v>
      </c>
      <c r="Z383" s="593">
        <v>78260000</v>
      </c>
      <c r="AA383" s="593">
        <v>78260000</v>
      </c>
      <c r="AB383" s="610">
        <v>78260000</v>
      </c>
      <c r="AC383" s="593">
        <v>78260000</v>
      </c>
      <c r="AD383" s="575">
        <v>78260000</v>
      </c>
      <c r="AE383" s="580">
        <v>88955533</v>
      </c>
      <c r="AF383" s="822"/>
      <c r="AG383" s="828"/>
      <c r="AH383" s="822"/>
      <c r="AI383" s="822"/>
      <c r="AJ383" s="822"/>
      <c r="AK383" s="806"/>
      <c r="AL383" s="806"/>
      <c r="AM383" s="806"/>
      <c r="AN383" s="806"/>
      <c r="AO383" s="806"/>
      <c r="AP383" s="806"/>
      <c r="AQ383" s="806"/>
      <c r="AR383" s="806"/>
      <c r="AS383" s="806"/>
      <c r="AT383" s="806"/>
      <c r="AU383" s="806"/>
      <c r="AV383" s="806"/>
      <c r="AW383" s="806"/>
      <c r="AX383" s="806"/>
      <c r="AY383" s="806"/>
    </row>
    <row r="384" spans="1:51" ht="28.9" customHeight="1" x14ac:dyDescent="0.25">
      <c r="A384" s="828"/>
      <c r="B384" s="822"/>
      <c r="C384" s="822"/>
      <c r="D384" s="579" t="s">
        <v>351</v>
      </c>
      <c r="E384" s="582"/>
      <c r="F384" s="582"/>
      <c r="G384" s="582"/>
      <c r="H384" s="582"/>
      <c r="I384" s="580"/>
      <c r="J384" s="580"/>
      <c r="K384" s="575"/>
      <c r="L384" s="575"/>
      <c r="M384" s="575"/>
      <c r="N384" s="583"/>
      <c r="O384" s="592"/>
      <c r="P384" s="593"/>
      <c r="Q384" s="593"/>
      <c r="R384" s="593"/>
      <c r="S384" s="593"/>
      <c r="T384" s="593"/>
      <c r="U384" s="593"/>
      <c r="V384" s="593"/>
      <c r="W384" s="593"/>
      <c r="X384" s="574"/>
      <c r="Y384" s="574"/>
      <c r="Z384" s="593"/>
      <c r="AA384" s="593"/>
      <c r="AB384" s="593"/>
      <c r="AC384" s="593"/>
      <c r="AD384" s="575"/>
      <c r="AE384" s="593"/>
      <c r="AF384" s="822"/>
      <c r="AG384" s="828"/>
      <c r="AH384" s="822"/>
      <c r="AI384" s="822"/>
      <c r="AJ384" s="822"/>
      <c r="AK384" s="806"/>
      <c r="AL384" s="806"/>
      <c r="AM384" s="806"/>
      <c r="AN384" s="806"/>
      <c r="AO384" s="806"/>
      <c r="AP384" s="806"/>
      <c r="AQ384" s="806"/>
      <c r="AR384" s="806"/>
      <c r="AS384" s="806"/>
      <c r="AT384" s="806"/>
      <c r="AU384" s="806"/>
      <c r="AV384" s="806"/>
      <c r="AW384" s="806"/>
      <c r="AX384" s="806"/>
      <c r="AY384" s="806"/>
    </row>
    <row r="385" spans="1:51" ht="28.9" customHeight="1" x14ac:dyDescent="0.25">
      <c r="A385" s="828"/>
      <c r="B385" s="822"/>
      <c r="C385" s="822"/>
      <c r="D385" s="578" t="s">
        <v>352</v>
      </c>
      <c r="E385" s="582">
        <v>1695633</v>
      </c>
      <c r="F385" s="582">
        <v>1695633</v>
      </c>
      <c r="G385" s="582">
        <v>1695633</v>
      </c>
      <c r="H385" s="582">
        <v>1695633</v>
      </c>
      <c r="I385" s="580">
        <v>1695633</v>
      </c>
      <c r="J385" s="580">
        <v>1695633</v>
      </c>
      <c r="K385" s="575">
        <v>1695633</v>
      </c>
      <c r="L385" s="575">
        <v>1695633</v>
      </c>
      <c r="M385" s="575">
        <v>1695633</v>
      </c>
      <c r="N385" s="583">
        <v>1695633</v>
      </c>
      <c r="O385" s="583">
        <v>1695633</v>
      </c>
      <c r="P385" s="593">
        <v>1695633</v>
      </c>
      <c r="Q385" s="593">
        <v>1695633</v>
      </c>
      <c r="R385" s="593">
        <v>1695633</v>
      </c>
      <c r="S385" s="593"/>
      <c r="T385" s="593">
        <v>1695633</v>
      </c>
      <c r="U385" s="593">
        <v>1695633</v>
      </c>
      <c r="V385" s="593">
        <v>1695633</v>
      </c>
      <c r="W385" s="593">
        <v>1695633</v>
      </c>
      <c r="X385" s="574">
        <v>1695633</v>
      </c>
      <c r="Y385" s="574">
        <v>1695633</v>
      </c>
      <c r="Z385" s="593">
        <v>1695633</v>
      </c>
      <c r="AA385" s="593">
        <v>1695633</v>
      </c>
      <c r="AB385" s="593">
        <v>1695633</v>
      </c>
      <c r="AC385" s="593">
        <v>1695633</v>
      </c>
      <c r="AD385" s="593">
        <v>1695633</v>
      </c>
      <c r="AE385" s="593">
        <v>1695633</v>
      </c>
      <c r="AF385" s="822"/>
      <c r="AG385" s="828"/>
      <c r="AH385" s="822"/>
      <c r="AI385" s="822"/>
      <c r="AJ385" s="822"/>
      <c r="AK385" s="806"/>
      <c r="AL385" s="806"/>
      <c r="AM385" s="806"/>
      <c r="AN385" s="806"/>
      <c r="AO385" s="806"/>
      <c r="AP385" s="806"/>
      <c r="AQ385" s="806"/>
      <c r="AR385" s="806"/>
      <c r="AS385" s="806"/>
      <c r="AT385" s="806"/>
      <c r="AU385" s="806"/>
      <c r="AV385" s="806"/>
      <c r="AW385" s="806"/>
      <c r="AX385" s="806"/>
      <c r="AY385" s="806"/>
    </row>
    <row r="386" spans="1:51" ht="28.9" customHeight="1" x14ac:dyDescent="0.25">
      <c r="A386" s="828"/>
      <c r="B386" s="822"/>
      <c r="C386" s="822"/>
      <c r="D386" s="579" t="s">
        <v>353</v>
      </c>
      <c r="E386" s="582">
        <v>0.9</v>
      </c>
      <c r="F386" s="582">
        <v>0.9</v>
      </c>
      <c r="G386" s="582">
        <v>0.9</v>
      </c>
      <c r="H386" s="582">
        <v>0.9</v>
      </c>
      <c r="I386" s="580">
        <v>0.9</v>
      </c>
      <c r="J386" s="580">
        <v>0.9</v>
      </c>
      <c r="K386" s="580">
        <v>0.9</v>
      </c>
      <c r="L386" s="593">
        <v>0.9</v>
      </c>
      <c r="M386" s="593">
        <v>0.9</v>
      </c>
      <c r="N386" s="592">
        <v>0.9</v>
      </c>
      <c r="O386" s="592">
        <v>0.9</v>
      </c>
      <c r="P386" s="580">
        <v>0.9</v>
      </c>
      <c r="Q386" s="580">
        <v>0.9</v>
      </c>
      <c r="R386" s="580">
        <v>0.9</v>
      </c>
      <c r="S386" s="580"/>
      <c r="T386" s="593">
        <v>0.66</v>
      </c>
      <c r="U386" s="593">
        <v>0.64</v>
      </c>
      <c r="V386" s="593">
        <v>0.67</v>
      </c>
      <c r="W386" s="593">
        <v>0.71</v>
      </c>
      <c r="X386" s="593">
        <v>0.75000000000000011</v>
      </c>
      <c r="Y386" s="593">
        <v>0.78</v>
      </c>
      <c r="Z386" s="593">
        <v>0.8</v>
      </c>
      <c r="AA386" s="593">
        <v>0.84</v>
      </c>
      <c r="AB386" s="610">
        <v>0.87000000000000011</v>
      </c>
      <c r="AC386" s="593">
        <v>0.89</v>
      </c>
      <c r="AD386" s="612">
        <v>0.89500000000000013</v>
      </c>
      <c r="AE386" s="580">
        <v>0.9</v>
      </c>
      <c r="AF386" s="822"/>
      <c r="AG386" s="828"/>
      <c r="AH386" s="822"/>
      <c r="AI386" s="822"/>
      <c r="AJ386" s="822"/>
      <c r="AK386" s="806"/>
      <c r="AL386" s="806"/>
      <c r="AM386" s="806"/>
      <c r="AN386" s="806"/>
      <c r="AO386" s="806"/>
      <c r="AP386" s="806"/>
      <c r="AQ386" s="806"/>
      <c r="AR386" s="806"/>
      <c r="AS386" s="806"/>
      <c r="AT386" s="806"/>
      <c r="AU386" s="806"/>
      <c r="AV386" s="806"/>
      <c r="AW386" s="806"/>
      <c r="AX386" s="806"/>
      <c r="AY386" s="806"/>
    </row>
    <row r="387" spans="1:51" ht="28.9" customHeight="1" x14ac:dyDescent="0.25">
      <c r="A387" s="828"/>
      <c r="B387" s="822"/>
      <c r="C387" s="823"/>
      <c r="D387" s="578" t="s">
        <v>354</v>
      </c>
      <c r="E387" s="573">
        <v>87781633</v>
      </c>
      <c r="F387" s="573">
        <v>87781633</v>
      </c>
      <c r="G387" s="573">
        <v>94169000</v>
      </c>
      <c r="H387" s="573">
        <v>87781633</v>
      </c>
      <c r="I387" s="574">
        <v>87781633</v>
      </c>
      <c r="J387" s="574">
        <v>87781633</v>
      </c>
      <c r="K387" s="596">
        <v>87781633</v>
      </c>
      <c r="L387" s="575">
        <v>87781633</v>
      </c>
      <c r="M387" s="575">
        <f t="shared" ref="M387:R387" si="109">+M383+M385</f>
        <v>90651167</v>
      </c>
      <c r="N387" s="583">
        <f t="shared" si="109"/>
        <v>90651167</v>
      </c>
      <c r="O387" s="583">
        <f t="shared" si="109"/>
        <v>90651167</v>
      </c>
      <c r="P387" s="593">
        <f t="shared" si="109"/>
        <v>90651167</v>
      </c>
      <c r="Q387" s="593">
        <f t="shared" si="109"/>
        <v>90651167</v>
      </c>
      <c r="R387" s="593">
        <f t="shared" si="109"/>
        <v>90651167</v>
      </c>
      <c r="S387" s="593"/>
      <c r="T387" s="574">
        <v>1695633</v>
      </c>
      <c r="U387" s="574">
        <v>79955633</v>
      </c>
      <c r="V387" s="593">
        <v>79955633</v>
      </c>
      <c r="W387" s="593">
        <v>79955633</v>
      </c>
      <c r="X387" s="593">
        <v>79955633</v>
      </c>
      <c r="Y387" s="593">
        <v>79955633</v>
      </c>
      <c r="Z387" s="580">
        <f t="shared" ref="Z387:AE387" si="110">+Z383+Z385</f>
        <v>79955633</v>
      </c>
      <c r="AA387" s="580">
        <f t="shared" si="110"/>
        <v>79955633</v>
      </c>
      <c r="AB387" s="580">
        <f t="shared" si="110"/>
        <v>79955633</v>
      </c>
      <c r="AC387" s="593">
        <f t="shared" si="110"/>
        <v>79955633</v>
      </c>
      <c r="AD387" s="593">
        <f t="shared" si="110"/>
        <v>79955633</v>
      </c>
      <c r="AE387" s="593">
        <f t="shared" si="110"/>
        <v>90651166</v>
      </c>
      <c r="AF387" s="822"/>
      <c r="AG387" s="829"/>
      <c r="AH387" s="823"/>
      <c r="AI387" s="823"/>
      <c r="AJ387" s="823"/>
      <c r="AK387" s="807"/>
      <c r="AL387" s="807"/>
      <c r="AM387" s="807"/>
      <c r="AN387" s="807"/>
      <c r="AO387" s="807"/>
      <c r="AP387" s="807"/>
      <c r="AQ387" s="807"/>
      <c r="AR387" s="807"/>
      <c r="AS387" s="807"/>
      <c r="AT387" s="807"/>
      <c r="AU387" s="807"/>
      <c r="AV387" s="807"/>
      <c r="AW387" s="807"/>
      <c r="AX387" s="807"/>
      <c r="AY387" s="807"/>
    </row>
    <row r="388" spans="1:51" ht="19.149999999999999" customHeight="1" x14ac:dyDescent="0.25">
      <c r="A388" s="828"/>
      <c r="B388" s="822"/>
      <c r="C388" s="821" t="s">
        <v>599</v>
      </c>
      <c r="D388" s="572" t="s">
        <v>345</v>
      </c>
      <c r="E388" s="582">
        <v>0.9</v>
      </c>
      <c r="F388" s="582">
        <v>0.9</v>
      </c>
      <c r="G388" s="582">
        <v>0.9</v>
      </c>
      <c r="H388" s="582">
        <v>0.9</v>
      </c>
      <c r="I388" s="580">
        <v>0.9</v>
      </c>
      <c r="J388" s="580">
        <v>0.9</v>
      </c>
      <c r="K388" s="580">
        <v>0.9</v>
      </c>
      <c r="L388" s="580">
        <v>0.9</v>
      </c>
      <c r="M388" s="580">
        <f t="shared" ref="M388:R393" si="111">+M382</f>
        <v>0.9</v>
      </c>
      <c r="N388" s="582">
        <f t="shared" si="111"/>
        <v>0.9</v>
      </c>
      <c r="O388" s="582">
        <f t="shared" si="111"/>
        <v>0.90000000000000013</v>
      </c>
      <c r="P388" s="580">
        <f t="shared" si="111"/>
        <v>0.90000000000000013</v>
      </c>
      <c r="Q388" s="580">
        <f t="shared" si="111"/>
        <v>0.90000000000000013</v>
      </c>
      <c r="R388" s="580">
        <f t="shared" si="111"/>
        <v>0.9</v>
      </c>
      <c r="S388" s="580"/>
      <c r="T388" s="580">
        <v>0.66</v>
      </c>
      <c r="U388" s="580">
        <v>0.64</v>
      </c>
      <c r="V388" s="580">
        <v>0.67</v>
      </c>
      <c r="W388" s="580">
        <v>0.71</v>
      </c>
      <c r="X388" s="580">
        <v>0.75000000000000011</v>
      </c>
      <c r="Y388" s="580">
        <v>0.78</v>
      </c>
      <c r="Z388" s="580">
        <f t="shared" ref="Z388:AE393" si="112">+Z382</f>
        <v>0.8</v>
      </c>
      <c r="AA388" s="580">
        <f t="shared" si="112"/>
        <v>0.84000000000000008</v>
      </c>
      <c r="AB388" s="580">
        <f t="shared" si="112"/>
        <v>0.87000000000000011</v>
      </c>
      <c r="AC388" s="593">
        <f t="shared" si="112"/>
        <v>0.89000000000000012</v>
      </c>
      <c r="AD388" s="612">
        <f t="shared" si="112"/>
        <v>0.89500000000000013</v>
      </c>
      <c r="AE388" s="580">
        <f t="shared" si="112"/>
        <v>0.90000000000000013</v>
      </c>
      <c r="AF388" s="822"/>
      <c r="AG388" s="827" t="s">
        <v>489</v>
      </c>
      <c r="AH388" s="824" t="s">
        <v>178</v>
      </c>
      <c r="AI388" s="824" t="s">
        <v>178</v>
      </c>
      <c r="AJ388" s="824" t="s">
        <v>178</v>
      </c>
      <c r="AK388" s="825" t="s">
        <v>490</v>
      </c>
      <c r="AL388" s="826"/>
      <c r="AM388" s="826" t="s">
        <v>672</v>
      </c>
      <c r="AN388" s="820">
        <v>7968095</v>
      </c>
      <c r="AO388" s="820">
        <v>3815676</v>
      </c>
      <c r="AP388" s="820">
        <v>4152419</v>
      </c>
      <c r="AQ388" s="805" t="s">
        <v>492</v>
      </c>
      <c r="AR388" s="805" t="s">
        <v>492</v>
      </c>
      <c r="AS388" s="805" t="s">
        <v>492</v>
      </c>
      <c r="AT388" s="805" t="s">
        <v>492</v>
      </c>
      <c r="AU388" s="805" t="s">
        <v>492</v>
      </c>
      <c r="AV388" s="805" t="s">
        <v>492</v>
      </c>
      <c r="AW388" s="805" t="s">
        <v>492</v>
      </c>
      <c r="AX388" s="808">
        <v>7936534</v>
      </c>
      <c r="AY388" s="600"/>
    </row>
    <row r="389" spans="1:51" ht="19.149999999999999" customHeight="1" x14ac:dyDescent="0.25">
      <c r="A389" s="828"/>
      <c r="B389" s="822"/>
      <c r="C389" s="822"/>
      <c r="D389" s="578" t="s">
        <v>349</v>
      </c>
      <c r="E389" s="582">
        <v>86086000</v>
      </c>
      <c r="F389" s="582">
        <v>86086000</v>
      </c>
      <c r="G389" s="582">
        <v>86086000</v>
      </c>
      <c r="H389" s="582">
        <v>86086000</v>
      </c>
      <c r="I389" s="580">
        <v>86086000</v>
      </c>
      <c r="J389" s="580">
        <v>86086000</v>
      </c>
      <c r="K389" s="580">
        <v>86086000</v>
      </c>
      <c r="L389" s="580">
        <v>86086000</v>
      </c>
      <c r="M389" s="580">
        <f t="shared" si="111"/>
        <v>88955534</v>
      </c>
      <c r="N389" s="582">
        <f t="shared" si="111"/>
        <v>88955534</v>
      </c>
      <c r="O389" s="582">
        <f t="shared" si="111"/>
        <v>88955534</v>
      </c>
      <c r="P389" s="580">
        <f t="shared" si="111"/>
        <v>88955534</v>
      </c>
      <c r="Q389" s="580">
        <f t="shared" si="111"/>
        <v>88955534</v>
      </c>
      <c r="R389" s="580">
        <f t="shared" si="111"/>
        <v>88955534</v>
      </c>
      <c r="S389" s="580"/>
      <c r="T389" s="580">
        <v>0</v>
      </c>
      <c r="U389" s="580">
        <v>78260000</v>
      </c>
      <c r="V389" s="580">
        <v>78260000</v>
      </c>
      <c r="W389" s="580">
        <v>78260000</v>
      </c>
      <c r="X389" s="580">
        <v>78260000</v>
      </c>
      <c r="Y389" s="580">
        <v>78260000</v>
      </c>
      <c r="Z389" s="580">
        <f t="shared" si="112"/>
        <v>78260000</v>
      </c>
      <c r="AA389" s="580">
        <f t="shared" si="112"/>
        <v>78260000</v>
      </c>
      <c r="AB389" s="580">
        <f t="shared" si="112"/>
        <v>78260000</v>
      </c>
      <c r="AC389" s="593">
        <f t="shared" si="112"/>
        <v>78260000</v>
      </c>
      <c r="AD389" s="593">
        <f t="shared" si="112"/>
        <v>78260000</v>
      </c>
      <c r="AE389" s="580">
        <f t="shared" si="112"/>
        <v>88955533</v>
      </c>
      <c r="AF389" s="822"/>
      <c r="AG389" s="828"/>
      <c r="AH389" s="822"/>
      <c r="AI389" s="822"/>
      <c r="AJ389" s="822"/>
      <c r="AK389" s="806"/>
      <c r="AL389" s="806"/>
      <c r="AM389" s="806"/>
      <c r="AN389" s="806"/>
      <c r="AO389" s="806"/>
      <c r="AP389" s="806"/>
      <c r="AQ389" s="806"/>
      <c r="AR389" s="806"/>
      <c r="AS389" s="806"/>
      <c r="AT389" s="806"/>
      <c r="AU389" s="806"/>
      <c r="AV389" s="806"/>
      <c r="AW389" s="806"/>
      <c r="AX389" s="806"/>
      <c r="AY389" s="600"/>
    </row>
    <row r="390" spans="1:51" ht="28.9" customHeight="1" x14ac:dyDescent="0.25">
      <c r="A390" s="828"/>
      <c r="B390" s="822"/>
      <c r="C390" s="822"/>
      <c r="D390" s="579" t="s">
        <v>351</v>
      </c>
      <c r="E390" s="582">
        <v>0</v>
      </c>
      <c r="F390" s="582">
        <v>0</v>
      </c>
      <c r="G390" s="582">
        <v>0</v>
      </c>
      <c r="H390" s="582">
        <v>0</v>
      </c>
      <c r="I390" s="580">
        <v>0</v>
      </c>
      <c r="J390" s="580">
        <v>0</v>
      </c>
      <c r="K390" s="580">
        <v>0</v>
      </c>
      <c r="L390" s="580">
        <v>0</v>
      </c>
      <c r="M390" s="580">
        <f t="shared" si="111"/>
        <v>0</v>
      </c>
      <c r="N390" s="582">
        <f t="shared" si="111"/>
        <v>0</v>
      </c>
      <c r="O390" s="582">
        <f t="shared" si="111"/>
        <v>0</v>
      </c>
      <c r="P390" s="580">
        <f t="shared" si="111"/>
        <v>0</v>
      </c>
      <c r="Q390" s="580">
        <f t="shared" si="111"/>
        <v>0</v>
      </c>
      <c r="R390" s="580">
        <f t="shared" si="111"/>
        <v>0</v>
      </c>
      <c r="S390" s="580"/>
      <c r="T390" s="580">
        <v>0</v>
      </c>
      <c r="U390" s="580">
        <v>0</v>
      </c>
      <c r="V390" s="580">
        <v>0</v>
      </c>
      <c r="W390" s="580">
        <v>0</v>
      </c>
      <c r="X390" s="580">
        <v>0</v>
      </c>
      <c r="Y390" s="580">
        <v>0</v>
      </c>
      <c r="Z390" s="580">
        <f t="shared" si="112"/>
        <v>0</v>
      </c>
      <c r="AA390" s="580">
        <f t="shared" si="112"/>
        <v>0</v>
      </c>
      <c r="AB390" s="580">
        <f t="shared" si="112"/>
        <v>0</v>
      </c>
      <c r="AC390" s="593">
        <f t="shared" si="112"/>
        <v>0</v>
      </c>
      <c r="AD390" s="593">
        <f t="shared" si="112"/>
        <v>0</v>
      </c>
      <c r="AE390" s="580">
        <f t="shared" si="112"/>
        <v>0</v>
      </c>
      <c r="AF390" s="822"/>
      <c r="AG390" s="828"/>
      <c r="AH390" s="822"/>
      <c r="AI390" s="822"/>
      <c r="AJ390" s="822"/>
      <c r="AK390" s="806"/>
      <c r="AL390" s="806"/>
      <c r="AM390" s="806"/>
      <c r="AN390" s="806"/>
      <c r="AO390" s="806"/>
      <c r="AP390" s="806"/>
      <c r="AQ390" s="806"/>
      <c r="AR390" s="806"/>
      <c r="AS390" s="806"/>
      <c r="AT390" s="806"/>
      <c r="AU390" s="806"/>
      <c r="AV390" s="806"/>
      <c r="AW390" s="806"/>
      <c r="AX390" s="806"/>
      <c r="AY390" s="600"/>
    </row>
    <row r="391" spans="1:51" ht="28.9" customHeight="1" x14ac:dyDescent="0.25">
      <c r="A391" s="828"/>
      <c r="B391" s="822"/>
      <c r="C391" s="822"/>
      <c r="D391" s="578" t="s">
        <v>352</v>
      </c>
      <c r="E391" s="582">
        <v>1695633</v>
      </c>
      <c r="F391" s="582">
        <v>1695633</v>
      </c>
      <c r="G391" s="582">
        <v>1695633</v>
      </c>
      <c r="H391" s="582">
        <v>1695633</v>
      </c>
      <c r="I391" s="580">
        <v>1695633</v>
      </c>
      <c r="J391" s="580">
        <v>1695633</v>
      </c>
      <c r="K391" s="580">
        <v>1695633</v>
      </c>
      <c r="L391" s="580">
        <v>1695633</v>
      </c>
      <c r="M391" s="580">
        <f t="shared" si="111"/>
        <v>1695633</v>
      </c>
      <c r="N391" s="582">
        <f t="shared" si="111"/>
        <v>1695633</v>
      </c>
      <c r="O391" s="582">
        <f t="shared" si="111"/>
        <v>1695633</v>
      </c>
      <c r="P391" s="580">
        <f t="shared" si="111"/>
        <v>1695633</v>
      </c>
      <c r="Q391" s="580">
        <f t="shared" si="111"/>
        <v>1695633</v>
      </c>
      <c r="R391" s="580">
        <f t="shared" si="111"/>
        <v>1695633</v>
      </c>
      <c r="S391" s="580"/>
      <c r="T391" s="580">
        <v>1695633</v>
      </c>
      <c r="U391" s="580">
        <v>1695633</v>
      </c>
      <c r="V391" s="580">
        <v>1695633</v>
      </c>
      <c r="W391" s="580">
        <v>1695633</v>
      </c>
      <c r="X391" s="580">
        <v>1695633</v>
      </c>
      <c r="Y391" s="580">
        <v>1695633</v>
      </c>
      <c r="Z391" s="580">
        <f t="shared" si="112"/>
        <v>1695633</v>
      </c>
      <c r="AA391" s="580">
        <f t="shared" si="112"/>
        <v>1695633</v>
      </c>
      <c r="AB391" s="580">
        <f t="shared" si="112"/>
        <v>1695633</v>
      </c>
      <c r="AC391" s="593">
        <f t="shared" si="112"/>
        <v>1695633</v>
      </c>
      <c r="AD391" s="593">
        <f t="shared" si="112"/>
        <v>1695633</v>
      </c>
      <c r="AE391" s="580">
        <f t="shared" si="112"/>
        <v>1695633</v>
      </c>
      <c r="AF391" s="822"/>
      <c r="AG391" s="828"/>
      <c r="AH391" s="822"/>
      <c r="AI391" s="822"/>
      <c r="AJ391" s="822"/>
      <c r="AK391" s="806"/>
      <c r="AL391" s="806"/>
      <c r="AM391" s="806"/>
      <c r="AN391" s="806"/>
      <c r="AO391" s="806"/>
      <c r="AP391" s="806"/>
      <c r="AQ391" s="806"/>
      <c r="AR391" s="806"/>
      <c r="AS391" s="806"/>
      <c r="AT391" s="806"/>
      <c r="AU391" s="806"/>
      <c r="AV391" s="806"/>
      <c r="AW391" s="806"/>
      <c r="AX391" s="806"/>
      <c r="AY391" s="600"/>
    </row>
    <row r="392" spans="1:51" ht="28.9" customHeight="1" x14ac:dyDescent="0.25">
      <c r="A392" s="828"/>
      <c r="B392" s="822"/>
      <c r="C392" s="822"/>
      <c r="D392" s="579" t="s">
        <v>353</v>
      </c>
      <c r="E392" s="582">
        <v>0.9</v>
      </c>
      <c r="F392" s="582">
        <v>0.9</v>
      </c>
      <c r="G392" s="582">
        <v>0.9</v>
      </c>
      <c r="H392" s="582">
        <v>0.9</v>
      </c>
      <c r="I392" s="580">
        <v>0.9</v>
      </c>
      <c r="J392" s="580">
        <v>0.9</v>
      </c>
      <c r="K392" s="580">
        <v>0.9</v>
      </c>
      <c r="L392" s="580">
        <v>0.9</v>
      </c>
      <c r="M392" s="580">
        <f t="shared" si="111"/>
        <v>0.9</v>
      </c>
      <c r="N392" s="582">
        <f t="shared" si="111"/>
        <v>0.9</v>
      </c>
      <c r="O392" s="582">
        <f t="shared" si="111"/>
        <v>0.9</v>
      </c>
      <c r="P392" s="580">
        <f t="shared" si="111"/>
        <v>0.9</v>
      </c>
      <c r="Q392" s="580">
        <f t="shared" si="111"/>
        <v>0.9</v>
      </c>
      <c r="R392" s="580">
        <f t="shared" si="111"/>
        <v>0.9</v>
      </c>
      <c r="S392" s="580"/>
      <c r="T392" s="580">
        <v>0.66</v>
      </c>
      <c r="U392" s="580">
        <v>0.64</v>
      </c>
      <c r="V392" s="580">
        <v>0.67</v>
      </c>
      <c r="W392" s="580">
        <v>0.71</v>
      </c>
      <c r="X392" s="580">
        <v>0.75000000000000011</v>
      </c>
      <c r="Y392" s="580">
        <v>0.78</v>
      </c>
      <c r="Z392" s="580">
        <f t="shared" si="112"/>
        <v>0.8</v>
      </c>
      <c r="AA392" s="580">
        <f t="shared" si="112"/>
        <v>0.84</v>
      </c>
      <c r="AB392" s="580">
        <f t="shared" si="112"/>
        <v>0.87000000000000011</v>
      </c>
      <c r="AC392" s="593">
        <f t="shared" si="112"/>
        <v>0.89</v>
      </c>
      <c r="AD392" s="612">
        <f t="shared" si="112"/>
        <v>0.89500000000000013</v>
      </c>
      <c r="AE392" s="580">
        <f t="shared" si="112"/>
        <v>0.9</v>
      </c>
      <c r="AF392" s="822"/>
      <c r="AG392" s="828"/>
      <c r="AH392" s="822"/>
      <c r="AI392" s="822"/>
      <c r="AJ392" s="822"/>
      <c r="AK392" s="806"/>
      <c r="AL392" s="806"/>
      <c r="AM392" s="806"/>
      <c r="AN392" s="806"/>
      <c r="AO392" s="806"/>
      <c r="AP392" s="806"/>
      <c r="AQ392" s="806"/>
      <c r="AR392" s="806"/>
      <c r="AS392" s="806"/>
      <c r="AT392" s="806"/>
      <c r="AU392" s="806"/>
      <c r="AV392" s="806"/>
      <c r="AW392" s="806"/>
      <c r="AX392" s="806"/>
      <c r="AY392" s="600"/>
    </row>
    <row r="393" spans="1:51" ht="28.9" customHeight="1" thickBot="1" x14ac:dyDescent="0.3">
      <c r="A393" s="829"/>
      <c r="B393" s="832"/>
      <c r="C393" s="823"/>
      <c r="D393" s="578" t="s">
        <v>354</v>
      </c>
      <c r="E393" s="582">
        <v>87781633</v>
      </c>
      <c r="F393" s="582">
        <v>87781633</v>
      </c>
      <c r="G393" s="582">
        <v>94169000</v>
      </c>
      <c r="H393" s="582">
        <v>87781633</v>
      </c>
      <c r="I393" s="580">
        <v>87781633</v>
      </c>
      <c r="J393" s="580">
        <v>87781633</v>
      </c>
      <c r="K393" s="580">
        <v>87781633</v>
      </c>
      <c r="L393" s="580">
        <v>87781633</v>
      </c>
      <c r="M393" s="580">
        <f t="shared" si="111"/>
        <v>90651167</v>
      </c>
      <c r="N393" s="582">
        <f t="shared" si="111"/>
        <v>90651167</v>
      </c>
      <c r="O393" s="582">
        <f t="shared" si="111"/>
        <v>90651167</v>
      </c>
      <c r="P393" s="580">
        <f t="shared" si="111"/>
        <v>90651167</v>
      </c>
      <c r="Q393" s="580">
        <f t="shared" si="111"/>
        <v>90651167</v>
      </c>
      <c r="R393" s="580">
        <f t="shared" si="111"/>
        <v>90651167</v>
      </c>
      <c r="S393" s="580"/>
      <c r="T393" s="580">
        <v>1695633</v>
      </c>
      <c r="U393" s="580">
        <v>79955633</v>
      </c>
      <c r="V393" s="580">
        <v>79955633</v>
      </c>
      <c r="W393" s="580">
        <v>79955633</v>
      </c>
      <c r="X393" s="580">
        <v>79955633</v>
      </c>
      <c r="Y393" s="580">
        <v>79955633</v>
      </c>
      <c r="Z393" s="580">
        <f t="shared" si="112"/>
        <v>79955633</v>
      </c>
      <c r="AA393" s="580">
        <f t="shared" si="112"/>
        <v>79955633</v>
      </c>
      <c r="AB393" s="580">
        <f t="shared" si="112"/>
        <v>79955633</v>
      </c>
      <c r="AC393" s="593">
        <f t="shared" si="112"/>
        <v>79955633</v>
      </c>
      <c r="AD393" s="593">
        <f t="shared" si="112"/>
        <v>79955633</v>
      </c>
      <c r="AE393" s="580">
        <f t="shared" si="112"/>
        <v>90651166</v>
      </c>
      <c r="AF393" s="823"/>
      <c r="AG393" s="829"/>
      <c r="AH393" s="823"/>
      <c r="AI393" s="823"/>
      <c r="AJ393" s="823"/>
      <c r="AK393" s="807"/>
      <c r="AL393" s="807"/>
      <c r="AM393" s="807"/>
      <c r="AN393" s="807"/>
      <c r="AO393" s="807"/>
      <c r="AP393" s="807"/>
      <c r="AQ393" s="807"/>
      <c r="AR393" s="807"/>
      <c r="AS393" s="807"/>
      <c r="AT393" s="807"/>
      <c r="AU393" s="807"/>
      <c r="AV393" s="807"/>
      <c r="AW393" s="807"/>
      <c r="AX393" s="807"/>
      <c r="AY393" s="600"/>
    </row>
    <row r="394" spans="1:51" ht="19.149999999999999" customHeight="1" x14ac:dyDescent="0.25">
      <c r="A394" s="827">
        <v>5</v>
      </c>
      <c r="B394" s="830" t="s">
        <v>743</v>
      </c>
      <c r="C394" s="821" t="s">
        <v>744</v>
      </c>
      <c r="D394" s="572" t="s">
        <v>345</v>
      </c>
      <c r="E394" s="590">
        <v>290</v>
      </c>
      <c r="F394" s="590">
        <v>290</v>
      </c>
      <c r="G394" s="590">
        <v>290</v>
      </c>
      <c r="H394" s="590">
        <v>290</v>
      </c>
      <c r="I394" s="591">
        <v>290</v>
      </c>
      <c r="J394" s="591">
        <v>290</v>
      </c>
      <c r="K394" s="591">
        <v>290</v>
      </c>
      <c r="L394" s="591">
        <v>290</v>
      </c>
      <c r="M394" s="591">
        <v>290</v>
      </c>
      <c r="N394" s="590">
        <v>290</v>
      </c>
      <c r="O394" s="613">
        <v>290</v>
      </c>
      <c r="P394" s="591">
        <v>290</v>
      </c>
      <c r="Q394" s="591">
        <v>290</v>
      </c>
      <c r="R394" s="591">
        <v>290</v>
      </c>
      <c r="S394" s="591" t="s">
        <v>745</v>
      </c>
      <c r="T394" s="593">
        <v>0</v>
      </c>
      <c r="U394" s="593">
        <v>10</v>
      </c>
      <c r="V394" s="593">
        <v>30</v>
      </c>
      <c r="W394" s="593">
        <v>60</v>
      </c>
      <c r="X394" s="593">
        <v>90</v>
      </c>
      <c r="Y394" s="593">
        <v>120</v>
      </c>
      <c r="Z394" s="593">
        <v>130</v>
      </c>
      <c r="AA394" s="593">
        <v>140</v>
      </c>
      <c r="AB394" s="614">
        <v>180</v>
      </c>
      <c r="AC394" s="610">
        <v>220</v>
      </c>
      <c r="AD394" s="593">
        <v>260</v>
      </c>
      <c r="AE394" s="591">
        <v>290</v>
      </c>
      <c r="AF394" s="852" t="s">
        <v>746</v>
      </c>
      <c r="AG394" s="827" t="s">
        <v>489</v>
      </c>
      <c r="AH394" s="824" t="s">
        <v>178</v>
      </c>
      <c r="AI394" s="824" t="s">
        <v>178</v>
      </c>
      <c r="AJ394" s="824" t="s">
        <v>178</v>
      </c>
      <c r="AK394" s="825" t="s">
        <v>490</v>
      </c>
      <c r="AL394" s="826"/>
      <c r="AM394" s="826" t="s">
        <v>672</v>
      </c>
      <c r="AN394" s="820">
        <v>7968095</v>
      </c>
      <c r="AO394" s="820">
        <v>3815676</v>
      </c>
      <c r="AP394" s="820">
        <v>4152419</v>
      </c>
      <c r="AQ394" s="833" t="s">
        <v>492</v>
      </c>
      <c r="AR394" s="833" t="s">
        <v>492</v>
      </c>
      <c r="AS394" s="833" t="s">
        <v>492</v>
      </c>
      <c r="AT394" s="833" t="s">
        <v>492</v>
      </c>
      <c r="AU394" s="833" t="s">
        <v>492</v>
      </c>
      <c r="AV394" s="833" t="s">
        <v>492</v>
      </c>
      <c r="AW394" s="833" t="s">
        <v>492</v>
      </c>
      <c r="AX394" s="820">
        <v>7968095</v>
      </c>
      <c r="AY394" s="884"/>
    </row>
    <row r="395" spans="1:51" ht="19.149999999999999" customHeight="1" x14ac:dyDescent="0.25">
      <c r="A395" s="828"/>
      <c r="B395" s="822"/>
      <c r="C395" s="822"/>
      <c r="D395" s="578" t="s">
        <v>349</v>
      </c>
      <c r="E395" s="590">
        <v>930550000</v>
      </c>
      <c r="F395" s="590">
        <v>930550000</v>
      </c>
      <c r="G395" s="590">
        <v>930550000</v>
      </c>
      <c r="H395" s="590">
        <v>930550000</v>
      </c>
      <c r="I395" s="591">
        <v>930550000</v>
      </c>
      <c r="J395" s="591">
        <v>930550000</v>
      </c>
      <c r="K395" s="591">
        <v>930550000</v>
      </c>
      <c r="L395" s="591">
        <v>930550000</v>
      </c>
      <c r="M395" s="591">
        <v>953560100</v>
      </c>
      <c r="N395" s="592">
        <v>953560100</v>
      </c>
      <c r="O395" s="613">
        <v>953560100</v>
      </c>
      <c r="P395" s="591">
        <v>953560100</v>
      </c>
      <c r="Q395" s="591">
        <v>926447699</v>
      </c>
      <c r="R395" s="591">
        <v>926447699</v>
      </c>
      <c r="S395" s="591"/>
      <c r="T395" s="593">
        <v>0</v>
      </c>
      <c r="U395" s="593">
        <v>586660000</v>
      </c>
      <c r="V395" s="593">
        <v>586660000</v>
      </c>
      <c r="W395" s="593">
        <v>586660000</v>
      </c>
      <c r="X395" s="574">
        <v>586660000</v>
      </c>
      <c r="Y395" s="593">
        <v>586660000</v>
      </c>
      <c r="Z395" s="593">
        <v>586660000</v>
      </c>
      <c r="AA395" s="593">
        <v>749477000</v>
      </c>
      <c r="AB395" s="614">
        <v>814608000</v>
      </c>
      <c r="AC395" s="595">
        <v>814608000</v>
      </c>
      <c r="AD395" s="593">
        <v>814608000</v>
      </c>
      <c r="AE395" s="591">
        <v>926260635</v>
      </c>
      <c r="AF395" s="838"/>
      <c r="AG395" s="828"/>
      <c r="AH395" s="822"/>
      <c r="AI395" s="822"/>
      <c r="AJ395" s="822"/>
      <c r="AK395" s="806"/>
      <c r="AL395" s="806"/>
      <c r="AM395" s="806"/>
      <c r="AN395" s="806"/>
      <c r="AO395" s="806"/>
      <c r="AP395" s="806"/>
      <c r="AQ395" s="806"/>
      <c r="AR395" s="806"/>
      <c r="AS395" s="806"/>
      <c r="AT395" s="806"/>
      <c r="AU395" s="806"/>
      <c r="AV395" s="806"/>
      <c r="AW395" s="806"/>
      <c r="AX395" s="806"/>
      <c r="AY395" s="806"/>
    </row>
    <row r="396" spans="1:51" ht="28.9" customHeight="1" x14ac:dyDescent="0.25">
      <c r="A396" s="828"/>
      <c r="B396" s="822"/>
      <c r="C396" s="822"/>
      <c r="D396" s="579" t="s">
        <v>351</v>
      </c>
      <c r="E396" s="590"/>
      <c r="F396" s="590"/>
      <c r="G396" s="590"/>
      <c r="H396" s="590"/>
      <c r="I396" s="591"/>
      <c r="J396" s="591"/>
      <c r="K396" s="591"/>
      <c r="L396" s="580"/>
      <c r="M396" s="591"/>
      <c r="N396" s="590"/>
      <c r="O396" s="613"/>
      <c r="P396" s="615"/>
      <c r="Q396" s="591"/>
      <c r="R396" s="591"/>
      <c r="S396" s="591"/>
      <c r="T396" s="593"/>
      <c r="U396" s="593"/>
      <c r="V396" s="593"/>
      <c r="W396" s="593"/>
      <c r="X396" s="580"/>
      <c r="Y396" s="580"/>
      <c r="Z396" s="593"/>
      <c r="AA396" s="591"/>
      <c r="AB396" s="575"/>
      <c r="AC396" s="575"/>
      <c r="AD396" s="593"/>
      <c r="AE396" s="591"/>
      <c r="AF396" s="838"/>
      <c r="AG396" s="828"/>
      <c r="AH396" s="822"/>
      <c r="AI396" s="822"/>
      <c r="AJ396" s="822"/>
      <c r="AK396" s="806"/>
      <c r="AL396" s="806"/>
      <c r="AM396" s="806"/>
      <c r="AN396" s="806"/>
      <c r="AO396" s="806"/>
      <c r="AP396" s="806"/>
      <c r="AQ396" s="806"/>
      <c r="AR396" s="806"/>
      <c r="AS396" s="806"/>
      <c r="AT396" s="806"/>
      <c r="AU396" s="806"/>
      <c r="AV396" s="806"/>
      <c r="AW396" s="806"/>
      <c r="AX396" s="806"/>
      <c r="AY396" s="806"/>
    </row>
    <row r="397" spans="1:51" ht="28.9" customHeight="1" x14ac:dyDescent="0.25">
      <c r="A397" s="828"/>
      <c r="B397" s="822"/>
      <c r="C397" s="822"/>
      <c r="D397" s="578" t="s">
        <v>352</v>
      </c>
      <c r="E397" s="590">
        <v>55747063</v>
      </c>
      <c r="F397" s="590">
        <v>55747063</v>
      </c>
      <c r="G397" s="590">
        <v>55747063</v>
      </c>
      <c r="H397" s="590">
        <v>55747062</v>
      </c>
      <c r="I397" s="591">
        <v>55747062</v>
      </c>
      <c r="J397" s="591">
        <v>55747062</v>
      </c>
      <c r="K397" s="591">
        <v>55747062</v>
      </c>
      <c r="L397" s="591">
        <v>55747062</v>
      </c>
      <c r="M397" s="591">
        <v>55747063</v>
      </c>
      <c r="N397" s="590">
        <v>55747063</v>
      </c>
      <c r="O397" s="590">
        <v>55747063</v>
      </c>
      <c r="P397" s="615">
        <v>55747063</v>
      </c>
      <c r="Q397" s="615">
        <v>55747063</v>
      </c>
      <c r="R397" s="615">
        <v>55711704</v>
      </c>
      <c r="S397" s="615"/>
      <c r="T397" s="593">
        <v>19530933</v>
      </c>
      <c r="U397" s="593">
        <v>38545432</v>
      </c>
      <c r="V397" s="593">
        <v>38545432</v>
      </c>
      <c r="W397" s="593">
        <v>38545432</v>
      </c>
      <c r="X397" s="593">
        <v>40616709</v>
      </c>
      <c r="Y397" s="580">
        <v>40616709</v>
      </c>
      <c r="Z397" s="593">
        <v>40841880</v>
      </c>
      <c r="AA397" s="591">
        <v>40841880</v>
      </c>
      <c r="AB397" s="591">
        <v>40841880</v>
      </c>
      <c r="AC397" s="575">
        <v>55711704</v>
      </c>
      <c r="AD397" s="575">
        <v>55711704</v>
      </c>
      <c r="AE397" s="615">
        <v>55711704</v>
      </c>
      <c r="AF397" s="838"/>
      <c r="AG397" s="828"/>
      <c r="AH397" s="822"/>
      <c r="AI397" s="822"/>
      <c r="AJ397" s="822"/>
      <c r="AK397" s="806"/>
      <c r="AL397" s="806"/>
      <c r="AM397" s="806"/>
      <c r="AN397" s="806"/>
      <c r="AO397" s="806"/>
      <c r="AP397" s="806"/>
      <c r="AQ397" s="806"/>
      <c r="AR397" s="806"/>
      <c r="AS397" s="806"/>
      <c r="AT397" s="806"/>
      <c r="AU397" s="806"/>
      <c r="AV397" s="806"/>
      <c r="AW397" s="806"/>
      <c r="AX397" s="806"/>
      <c r="AY397" s="806"/>
    </row>
    <row r="398" spans="1:51" ht="28.9" customHeight="1" x14ac:dyDescent="0.25">
      <c r="A398" s="828"/>
      <c r="B398" s="822"/>
      <c r="C398" s="822"/>
      <c r="D398" s="579" t="s">
        <v>353</v>
      </c>
      <c r="E398" s="582">
        <v>290</v>
      </c>
      <c r="F398" s="582">
        <v>290</v>
      </c>
      <c r="G398" s="590">
        <v>290</v>
      </c>
      <c r="H398" s="590">
        <v>290</v>
      </c>
      <c r="I398" s="591">
        <v>290</v>
      </c>
      <c r="J398" s="591">
        <v>290</v>
      </c>
      <c r="K398" s="591">
        <v>290</v>
      </c>
      <c r="L398" s="580">
        <v>290</v>
      </c>
      <c r="M398" s="591">
        <v>290</v>
      </c>
      <c r="N398" s="590">
        <v>291</v>
      </c>
      <c r="O398" s="590">
        <v>291</v>
      </c>
      <c r="P398" s="591">
        <v>290</v>
      </c>
      <c r="Q398" s="591">
        <v>290</v>
      </c>
      <c r="R398" s="591">
        <v>290</v>
      </c>
      <c r="S398" s="591"/>
      <c r="T398" s="593">
        <v>0</v>
      </c>
      <c r="U398" s="593">
        <v>10</v>
      </c>
      <c r="V398" s="593">
        <v>20</v>
      </c>
      <c r="W398" s="593">
        <v>30</v>
      </c>
      <c r="X398" s="580">
        <v>90</v>
      </c>
      <c r="Y398" s="580">
        <v>120</v>
      </c>
      <c r="Z398" s="593">
        <v>130</v>
      </c>
      <c r="AA398" s="591">
        <v>140</v>
      </c>
      <c r="AB398" s="614">
        <v>180</v>
      </c>
      <c r="AC398" s="610">
        <v>220</v>
      </c>
      <c r="AD398" s="610">
        <v>260</v>
      </c>
      <c r="AE398" s="591">
        <v>290</v>
      </c>
      <c r="AF398" s="838"/>
      <c r="AG398" s="828"/>
      <c r="AH398" s="822"/>
      <c r="AI398" s="822"/>
      <c r="AJ398" s="822"/>
      <c r="AK398" s="806"/>
      <c r="AL398" s="806"/>
      <c r="AM398" s="806"/>
      <c r="AN398" s="806"/>
      <c r="AO398" s="806"/>
      <c r="AP398" s="806"/>
      <c r="AQ398" s="806"/>
      <c r="AR398" s="806"/>
      <c r="AS398" s="806"/>
      <c r="AT398" s="806"/>
      <c r="AU398" s="806"/>
      <c r="AV398" s="806"/>
      <c r="AW398" s="806"/>
      <c r="AX398" s="806"/>
      <c r="AY398" s="806"/>
    </row>
    <row r="399" spans="1:51" ht="28.9" customHeight="1" x14ac:dyDescent="0.25">
      <c r="A399" s="828"/>
      <c r="B399" s="822"/>
      <c r="C399" s="823"/>
      <c r="D399" s="578" t="s">
        <v>354</v>
      </c>
      <c r="E399" s="573">
        <v>986297063</v>
      </c>
      <c r="F399" s="573">
        <v>986297063</v>
      </c>
      <c r="G399" s="573">
        <v>986297063</v>
      </c>
      <c r="H399" s="573">
        <v>986297063</v>
      </c>
      <c r="I399" s="591">
        <v>986297063</v>
      </c>
      <c r="J399" s="591">
        <v>986297063</v>
      </c>
      <c r="K399" s="591">
        <v>986297063</v>
      </c>
      <c r="L399" s="591">
        <v>986297063</v>
      </c>
      <c r="M399" s="596">
        <f t="shared" ref="M399:R399" si="113">+M395+M397</f>
        <v>1009307163</v>
      </c>
      <c r="N399" s="597">
        <f t="shared" si="113"/>
        <v>1009307163</v>
      </c>
      <c r="O399" s="597">
        <f t="shared" si="113"/>
        <v>1009307163</v>
      </c>
      <c r="P399" s="596">
        <f t="shared" si="113"/>
        <v>1009307163</v>
      </c>
      <c r="Q399" s="596">
        <f t="shared" si="113"/>
        <v>982194762</v>
      </c>
      <c r="R399" s="596">
        <f t="shared" si="113"/>
        <v>982159403</v>
      </c>
      <c r="S399" s="596"/>
      <c r="T399" s="574">
        <v>19530933</v>
      </c>
      <c r="U399" s="574">
        <v>625205432</v>
      </c>
      <c r="V399" s="574">
        <v>625205432</v>
      </c>
      <c r="W399" s="574">
        <v>625205432</v>
      </c>
      <c r="X399" s="574">
        <v>627276709</v>
      </c>
      <c r="Y399" s="574">
        <v>627276709</v>
      </c>
      <c r="Z399" s="596">
        <f t="shared" ref="Z399:AE399" si="114">+Z395+Z397</f>
        <v>627501880</v>
      </c>
      <c r="AA399" s="596">
        <f t="shared" si="114"/>
        <v>790318880</v>
      </c>
      <c r="AB399" s="596">
        <f t="shared" si="114"/>
        <v>855449880</v>
      </c>
      <c r="AC399" s="596">
        <f t="shared" si="114"/>
        <v>870319704</v>
      </c>
      <c r="AD399" s="596">
        <f t="shared" si="114"/>
        <v>870319704</v>
      </c>
      <c r="AE399" s="596">
        <f t="shared" si="114"/>
        <v>981972339</v>
      </c>
      <c r="AF399" s="839"/>
      <c r="AG399" s="829"/>
      <c r="AH399" s="823"/>
      <c r="AI399" s="823"/>
      <c r="AJ399" s="823"/>
      <c r="AK399" s="807"/>
      <c r="AL399" s="807"/>
      <c r="AM399" s="807"/>
      <c r="AN399" s="807"/>
      <c r="AO399" s="807"/>
      <c r="AP399" s="807"/>
      <c r="AQ399" s="807"/>
      <c r="AR399" s="807"/>
      <c r="AS399" s="807"/>
      <c r="AT399" s="807"/>
      <c r="AU399" s="807"/>
      <c r="AV399" s="807"/>
      <c r="AW399" s="807"/>
      <c r="AX399" s="807"/>
      <c r="AY399" s="807"/>
    </row>
    <row r="400" spans="1:51" ht="19.149999999999999" customHeight="1" x14ac:dyDescent="0.25">
      <c r="A400" s="828"/>
      <c r="B400" s="822"/>
      <c r="C400" s="837" t="s">
        <v>496</v>
      </c>
      <c r="D400" s="572" t="s">
        <v>345</v>
      </c>
      <c r="E400" s="582"/>
      <c r="F400" s="616"/>
      <c r="G400" s="582"/>
      <c r="H400" s="582">
        <v>1</v>
      </c>
      <c r="I400" s="580">
        <v>2</v>
      </c>
      <c r="J400" s="580">
        <v>5</v>
      </c>
      <c r="K400" s="617">
        <v>10</v>
      </c>
      <c r="L400" s="580">
        <v>14</v>
      </c>
      <c r="M400" s="580">
        <v>16</v>
      </c>
      <c r="N400" s="592">
        <v>16</v>
      </c>
      <c r="O400" s="618">
        <v>18</v>
      </c>
      <c r="P400" s="580">
        <v>20</v>
      </c>
      <c r="Q400" s="580">
        <v>22</v>
      </c>
      <c r="R400" s="580">
        <v>25</v>
      </c>
      <c r="S400" s="580"/>
      <c r="T400" s="593"/>
      <c r="U400" s="580">
        <v>1</v>
      </c>
      <c r="V400" s="580">
        <v>2</v>
      </c>
      <c r="W400" s="580">
        <v>5</v>
      </c>
      <c r="X400" s="593">
        <v>10</v>
      </c>
      <c r="Y400" s="593">
        <v>14</v>
      </c>
      <c r="Z400" s="580">
        <f t="shared" ref="Z400:AE415" si="115">+M400</f>
        <v>16</v>
      </c>
      <c r="AA400" s="580">
        <f t="shared" si="115"/>
        <v>16</v>
      </c>
      <c r="AB400" s="575">
        <f t="shared" si="115"/>
        <v>18</v>
      </c>
      <c r="AC400" s="575">
        <f t="shared" si="115"/>
        <v>20</v>
      </c>
      <c r="AD400" s="575">
        <f t="shared" si="115"/>
        <v>22</v>
      </c>
      <c r="AE400" s="580">
        <f t="shared" si="115"/>
        <v>25</v>
      </c>
      <c r="AF400" s="864" t="s">
        <v>747</v>
      </c>
      <c r="AG400" s="885" t="s">
        <v>748</v>
      </c>
      <c r="AH400" s="865" t="s">
        <v>749</v>
      </c>
      <c r="AI400" s="865" t="s">
        <v>750</v>
      </c>
      <c r="AJ400" s="824" t="s">
        <v>751</v>
      </c>
      <c r="AK400" s="826" t="s">
        <v>490</v>
      </c>
      <c r="AL400" s="826">
        <v>2</v>
      </c>
      <c r="AM400" s="826" t="s">
        <v>752</v>
      </c>
      <c r="AN400" s="861">
        <v>586954</v>
      </c>
      <c r="AO400" s="820">
        <v>269584</v>
      </c>
      <c r="AP400" s="820">
        <v>317370</v>
      </c>
      <c r="AQ400" s="833" t="s">
        <v>492</v>
      </c>
      <c r="AR400" s="833" t="s">
        <v>492</v>
      </c>
      <c r="AS400" s="833" t="s">
        <v>492</v>
      </c>
      <c r="AT400" s="833" t="s">
        <v>492</v>
      </c>
      <c r="AU400" s="833" t="s">
        <v>492</v>
      </c>
      <c r="AV400" s="833" t="s">
        <v>492</v>
      </c>
      <c r="AW400" s="833" t="s">
        <v>492</v>
      </c>
      <c r="AX400" s="861">
        <v>586954</v>
      </c>
      <c r="AY400" s="862" t="s">
        <v>753</v>
      </c>
    </row>
    <row r="401" spans="1:51" ht="19.149999999999999" customHeight="1" x14ac:dyDescent="0.25">
      <c r="A401" s="828"/>
      <c r="B401" s="822"/>
      <c r="C401" s="838"/>
      <c r="D401" s="578" t="s">
        <v>349</v>
      </c>
      <c r="E401" s="583"/>
      <c r="F401" s="616"/>
      <c r="G401" s="583"/>
      <c r="H401" s="582">
        <v>58666000</v>
      </c>
      <c r="I401" s="580">
        <v>39110666.666666664</v>
      </c>
      <c r="J401" s="580">
        <v>48888333.333333336</v>
      </c>
      <c r="K401" s="580">
        <v>65184444.444444448</v>
      </c>
      <c r="L401" s="580">
        <v>68443666.666666672</v>
      </c>
      <c r="M401" s="580">
        <f>+M400*$Z$395/$Z$394</f>
        <v>72204307.692307696</v>
      </c>
      <c r="N401" s="582">
        <f>+N400*$AA$395/$AA$394</f>
        <v>85654514.285714284</v>
      </c>
      <c r="O401" s="582">
        <f>+O400*$AB$395/$AB$394</f>
        <v>81460800</v>
      </c>
      <c r="P401" s="580">
        <f>+P400*$AC$395/$AC$394</f>
        <v>74055272.727272734</v>
      </c>
      <c r="Q401" s="580">
        <f>+Q400*$AD$395/$AD$394</f>
        <v>68928369.230769232</v>
      </c>
      <c r="R401" s="580">
        <f>+R400*$AE$395/$AE$394</f>
        <v>79850054.741379306</v>
      </c>
      <c r="S401" s="580"/>
      <c r="T401" s="574"/>
      <c r="U401" s="580">
        <v>58666000</v>
      </c>
      <c r="V401" s="580">
        <v>39110666.666666664</v>
      </c>
      <c r="W401" s="580">
        <v>48888333.333333336</v>
      </c>
      <c r="X401" s="593">
        <v>65184444.444444448</v>
      </c>
      <c r="Y401" s="593">
        <v>68443666.666666672</v>
      </c>
      <c r="Z401" s="580">
        <f t="shared" si="115"/>
        <v>72204307.692307696</v>
      </c>
      <c r="AA401" s="580">
        <f t="shared" si="115"/>
        <v>85654514.285714284</v>
      </c>
      <c r="AB401" s="575">
        <f t="shared" si="115"/>
        <v>81460800</v>
      </c>
      <c r="AC401" s="575">
        <f t="shared" si="115"/>
        <v>74055272.727272734</v>
      </c>
      <c r="AD401" s="575">
        <f t="shared" si="115"/>
        <v>68928369.230769232</v>
      </c>
      <c r="AE401" s="580">
        <f t="shared" si="115"/>
        <v>79850054.741379306</v>
      </c>
      <c r="AF401" s="838"/>
      <c r="AG401" s="828"/>
      <c r="AH401" s="822"/>
      <c r="AI401" s="822"/>
      <c r="AJ401" s="822"/>
      <c r="AK401" s="806"/>
      <c r="AL401" s="806"/>
      <c r="AM401" s="806"/>
      <c r="AN401" s="806"/>
      <c r="AO401" s="806"/>
      <c r="AP401" s="806"/>
      <c r="AQ401" s="806"/>
      <c r="AR401" s="806"/>
      <c r="AS401" s="806"/>
      <c r="AT401" s="806"/>
      <c r="AU401" s="806"/>
      <c r="AV401" s="806"/>
      <c r="AW401" s="806"/>
      <c r="AX401" s="806"/>
      <c r="AY401" s="806"/>
    </row>
    <row r="402" spans="1:51" ht="28.9" customHeight="1" x14ac:dyDescent="0.25">
      <c r="A402" s="828"/>
      <c r="B402" s="822"/>
      <c r="C402" s="838"/>
      <c r="D402" s="579" t="s">
        <v>351</v>
      </c>
      <c r="E402" s="583"/>
      <c r="F402" s="616"/>
      <c r="G402" s="583"/>
      <c r="H402" s="583"/>
      <c r="I402" s="575"/>
      <c r="J402" s="575"/>
      <c r="K402" s="575"/>
      <c r="L402" s="575"/>
      <c r="M402" s="575"/>
      <c r="N402" s="573"/>
      <c r="O402" s="613"/>
      <c r="P402" s="575"/>
      <c r="Q402" s="575"/>
      <c r="R402" s="575"/>
      <c r="S402" s="575"/>
      <c r="T402" s="574"/>
      <c r="U402" s="580">
        <v>0</v>
      </c>
      <c r="V402" s="580">
        <v>0</v>
      </c>
      <c r="W402" s="580">
        <v>0</v>
      </c>
      <c r="X402" s="593">
        <v>0</v>
      </c>
      <c r="Y402" s="593">
        <v>0</v>
      </c>
      <c r="Z402" s="580">
        <f t="shared" si="115"/>
        <v>0</v>
      </c>
      <c r="AA402" s="580">
        <f t="shared" si="115"/>
        <v>0</v>
      </c>
      <c r="AB402" s="575">
        <f t="shared" si="115"/>
        <v>0</v>
      </c>
      <c r="AC402" s="575">
        <f t="shared" si="115"/>
        <v>0</v>
      </c>
      <c r="AD402" s="575">
        <f t="shared" si="115"/>
        <v>0</v>
      </c>
      <c r="AE402" s="575">
        <f t="shared" si="115"/>
        <v>0</v>
      </c>
      <c r="AF402" s="838"/>
      <c r="AG402" s="828"/>
      <c r="AH402" s="822"/>
      <c r="AI402" s="822"/>
      <c r="AJ402" s="822"/>
      <c r="AK402" s="806"/>
      <c r="AL402" s="806"/>
      <c r="AM402" s="806"/>
      <c r="AN402" s="806"/>
      <c r="AO402" s="806"/>
      <c r="AP402" s="806"/>
      <c r="AQ402" s="806"/>
      <c r="AR402" s="806"/>
      <c r="AS402" s="806"/>
      <c r="AT402" s="806"/>
      <c r="AU402" s="806"/>
      <c r="AV402" s="806"/>
      <c r="AW402" s="806"/>
      <c r="AX402" s="806"/>
      <c r="AY402" s="806"/>
    </row>
    <row r="403" spans="1:51" ht="28.9" customHeight="1" x14ac:dyDescent="0.25">
      <c r="A403" s="828"/>
      <c r="B403" s="822"/>
      <c r="C403" s="838"/>
      <c r="D403" s="578" t="s">
        <v>352</v>
      </c>
      <c r="E403" s="583"/>
      <c r="F403" s="616"/>
      <c r="G403" s="583"/>
      <c r="H403" s="583">
        <v>9636358</v>
      </c>
      <c r="I403" s="575">
        <v>5506490.2857142854</v>
      </c>
      <c r="J403" s="575">
        <v>5506490.2857142854</v>
      </c>
      <c r="K403" s="575">
        <v>2901193.5</v>
      </c>
      <c r="L403" s="575">
        <v>2901193.5</v>
      </c>
      <c r="M403" s="575">
        <v>2917277.1428571427</v>
      </c>
      <c r="N403" s="583">
        <v>2917277.1428571427</v>
      </c>
      <c r="O403" s="583">
        <v>2917277.1428571427</v>
      </c>
      <c r="P403" s="615">
        <f t="shared" ref="P403:R403" si="116">+AC397/16</f>
        <v>3481981.5</v>
      </c>
      <c r="Q403" s="615">
        <f t="shared" si="116"/>
        <v>3481981.5</v>
      </c>
      <c r="R403" s="615">
        <f t="shared" si="116"/>
        <v>3481981.5</v>
      </c>
      <c r="S403" s="615"/>
      <c r="T403" s="574"/>
      <c r="U403" s="580">
        <v>9636358</v>
      </c>
      <c r="V403" s="580">
        <v>5506490.2857142854</v>
      </c>
      <c r="W403" s="580">
        <v>5506490.2857142854</v>
      </c>
      <c r="X403" s="593">
        <v>2901193.5</v>
      </c>
      <c r="Y403" s="593">
        <v>2901193.5</v>
      </c>
      <c r="Z403" s="580">
        <f t="shared" si="115"/>
        <v>2917277.1428571427</v>
      </c>
      <c r="AA403" s="580">
        <f t="shared" si="115"/>
        <v>2917277.1428571427</v>
      </c>
      <c r="AB403" s="575">
        <f t="shared" si="115"/>
        <v>2917277.1428571427</v>
      </c>
      <c r="AC403" s="575">
        <f t="shared" si="115"/>
        <v>3481981.5</v>
      </c>
      <c r="AD403" s="575">
        <f t="shared" si="115"/>
        <v>3481981.5</v>
      </c>
      <c r="AE403" s="615">
        <f t="shared" si="115"/>
        <v>3481981.5</v>
      </c>
      <c r="AF403" s="838"/>
      <c r="AG403" s="828"/>
      <c r="AH403" s="822"/>
      <c r="AI403" s="822"/>
      <c r="AJ403" s="822"/>
      <c r="AK403" s="806"/>
      <c r="AL403" s="806"/>
      <c r="AM403" s="806"/>
      <c r="AN403" s="806"/>
      <c r="AO403" s="806"/>
      <c r="AP403" s="806"/>
      <c r="AQ403" s="806"/>
      <c r="AR403" s="806"/>
      <c r="AS403" s="806"/>
      <c r="AT403" s="806"/>
      <c r="AU403" s="806"/>
      <c r="AV403" s="806"/>
      <c r="AW403" s="806"/>
      <c r="AX403" s="806"/>
      <c r="AY403" s="806"/>
    </row>
    <row r="404" spans="1:51" ht="28.9" customHeight="1" x14ac:dyDescent="0.25">
      <c r="A404" s="828"/>
      <c r="B404" s="822"/>
      <c r="C404" s="838"/>
      <c r="D404" s="579" t="s">
        <v>353</v>
      </c>
      <c r="E404" s="582"/>
      <c r="F404" s="616"/>
      <c r="G404" s="582"/>
      <c r="H404" s="582">
        <v>1</v>
      </c>
      <c r="I404" s="580">
        <v>2</v>
      </c>
      <c r="J404" s="580">
        <v>5</v>
      </c>
      <c r="K404" s="617">
        <v>10</v>
      </c>
      <c r="L404" s="580">
        <v>14</v>
      </c>
      <c r="M404" s="580">
        <v>16</v>
      </c>
      <c r="N404" s="582">
        <v>16</v>
      </c>
      <c r="O404" s="618">
        <v>18</v>
      </c>
      <c r="P404" s="580">
        <v>20</v>
      </c>
      <c r="Q404" s="580">
        <v>22</v>
      </c>
      <c r="R404" s="580">
        <v>25</v>
      </c>
      <c r="S404" s="580"/>
      <c r="T404" s="580"/>
      <c r="U404" s="580">
        <v>1</v>
      </c>
      <c r="V404" s="580">
        <v>2</v>
      </c>
      <c r="W404" s="580">
        <v>5</v>
      </c>
      <c r="X404" s="593">
        <v>10</v>
      </c>
      <c r="Y404" s="593">
        <v>14</v>
      </c>
      <c r="Z404" s="580">
        <f t="shared" si="115"/>
        <v>16</v>
      </c>
      <c r="AA404" s="580">
        <f t="shared" si="115"/>
        <v>16</v>
      </c>
      <c r="AB404" s="575">
        <f t="shared" si="115"/>
        <v>18</v>
      </c>
      <c r="AC404" s="575">
        <f t="shared" si="115"/>
        <v>20</v>
      </c>
      <c r="AD404" s="575">
        <f t="shared" si="115"/>
        <v>22</v>
      </c>
      <c r="AE404" s="580">
        <f t="shared" si="115"/>
        <v>25</v>
      </c>
      <c r="AF404" s="838"/>
      <c r="AG404" s="828"/>
      <c r="AH404" s="822"/>
      <c r="AI404" s="822"/>
      <c r="AJ404" s="822"/>
      <c r="AK404" s="806"/>
      <c r="AL404" s="806"/>
      <c r="AM404" s="806"/>
      <c r="AN404" s="806"/>
      <c r="AO404" s="806"/>
      <c r="AP404" s="806"/>
      <c r="AQ404" s="806"/>
      <c r="AR404" s="806"/>
      <c r="AS404" s="806"/>
      <c r="AT404" s="806"/>
      <c r="AU404" s="806"/>
      <c r="AV404" s="806"/>
      <c r="AW404" s="806"/>
      <c r="AX404" s="806"/>
      <c r="AY404" s="806"/>
    </row>
    <row r="405" spans="1:51" ht="28.9" customHeight="1" x14ac:dyDescent="0.25">
      <c r="A405" s="828"/>
      <c r="B405" s="822"/>
      <c r="C405" s="839"/>
      <c r="D405" s="578" t="s">
        <v>354</v>
      </c>
      <c r="E405" s="597"/>
      <c r="F405" s="616"/>
      <c r="G405" s="597"/>
      <c r="H405" s="583">
        <v>68302358</v>
      </c>
      <c r="I405" s="575">
        <v>44617156.952380948</v>
      </c>
      <c r="J405" s="575">
        <v>54394823.619047619</v>
      </c>
      <c r="K405" s="575">
        <v>68085637.944444448</v>
      </c>
      <c r="L405" s="596">
        <v>71344860.166666672</v>
      </c>
      <c r="M405" s="596">
        <f t="shared" ref="M405:R405" si="117">+M401+M403</f>
        <v>75121584.835164845</v>
      </c>
      <c r="N405" s="597">
        <f t="shared" si="117"/>
        <v>88571791.428571433</v>
      </c>
      <c r="O405" s="597">
        <f t="shared" si="117"/>
        <v>84378077.142857149</v>
      </c>
      <c r="P405" s="596">
        <f t="shared" si="117"/>
        <v>77537254.227272734</v>
      </c>
      <c r="Q405" s="596">
        <f t="shared" si="117"/>
        <v>72410350.730769232</v>
      </c>
      <c r="R405" s="596">
        <f t="shared" si="117"/>
        <v>83332036.241379306</v>
      </c>
      <c r="S405" s="596"/>
      <c r="T405" s="593"/>
      <c r="U405" s="580">
        <v>68302358</v>
      </c>
      <c r="V405" s="580">
        <v>44617156.952380948</v>
      </c>
      <c r="W405" s="580">
        <v>54394823.619047619</v>
      </c>
      <c r="X405" s="593">
        <v>68085637.944444448</v>
      </c>
      <c r="Y405" s="593">
        <v>71344860.166666672</v>
      </c>
      <c r="Z405" s="580">
        <f t="shared" si="115"/>
        <v>75121584.835164845</v>
      </c>
      <c r="AA405" s="580">
        <f t="shared" si="115"/>
        <v>88571791.428571433</v>
      </c>
      <c r="AB405" s="575">
        <f t="shared" si="115"/>
        <v>84378077.142857149</v>
      </c>
      <c r="AC405" s="575">
        <f t="shared" si="115"/>
        <v>77537254.227272734</v>
      </c>
      <c r="AD405" s="575">
        <f t="shared" si="115"/>
        <v>72410350.730769232</v>
      </c>
      <c r="AE405" s="596">
        <f t="shared" si="115"/>
        <v>83332036.241379306</v>
      </c>
      <c r="AF405" s="839"/>
      <c r="AG405" s="829"/>
      <c r="AH405" s="823"/>
      <c r="AI405" s="823"/>
      <c r="AJ405" s="823"/>
      <c r="AK405" s="807"/>
      <c r="AL405" s="807"/>
      <c r="AM405" s="807"/>
      <c r="AN405" s="807"/>
      <c r="AO405" s="807"/>
      <c r="AP405" s="807"/>
      <c r="AQ405" s="807"/>
      <c r="AR405" s="807"/>
      <c r="AS405" s="807"/>
      <c r="AT405" s="807"/>
      <c r="AU405" s="807"/>
      <c r="AV405" s="807"/>
      <c r="AW405" s="807"/>
      <c r="AX405" s="807"/>
      <c r="AY405" s="807"/>
    </row>
    <row r="406" spans="1:51" ht="19.149999999999999" customHeight="1" x14ac:dyDescent="0.25">
      <c r="A406" s="828"/>
      <c r="B406" s="822"/>
      <c r="C406" s="837" t="s">
        <v>513</v>
      </c>
      <c r="D406" s="572" t="s">
        <v>345</v>
      </c>
      <c r="E406" s="582"/>
      <c r="F406" s="582"/>
      <c r="G406" s="582"/>
      <c r="H406" s="582"/>
      <c r="I406" s="580"/>
      <c r="J406" s="580">
        <v>2</v>
      </c>
      <c r="K406" s="598">
        <v>5</v>
      </c>
      <c r="L406" s="580">
        <v>8</v>
      </c>
      <c r="M406" s="580">
        <v>10</v>
      </c>
      <c r="N406" s="592">
        <v>13</v>
      </c>
      <c r="O406" s="618">
        <v>16</v>
      </c>
      <c r="P406" s="580">
        <v>19</v>
      </c>
      <c r="Q406" s="580">
        <v>21</v>
      </c>
      <c r="R406" s="580">
        <v>22</v>
      </c>
      <c r="S406" s="580"/>
      <c r="T406" s="593"/>
      <c r="U406" s="580">
        <v>0</v>
      </c>
      <c r="V406" s="580">
        <v>0</v>
      </c>
      <c r="W406" s="580">
        <v>2</v>
      </c>
      <c r="X406" s="593">
        <v>5</v>
      </c>
      <c r="Y406" s="593">
        <v>8</v>
      </c>
      <c r="Z406" s="580">
        <f t="shared" si="115"/>
        <v>10</v>
      </c>
      <c r="AA406" s="580">
        <f t="shared" si="115"/>
        <v>13</v>
      </c>
      <c r="AB406" s="575">
        <f t="shared" si="115"/>
        <v>16</v>
      </c>
      <c r="AC406" s="575">
        <f t="shared" si="115"/>
        <v>19</v>
      </c>
      <c r="AD406" s="575">
        <f t="shared" si="115"/>
        <v>21</v>
      </c>
      <c r="AE406" s="580">
        <f t="shared" si="115"/>
        <v>22</v>
      </c>
      <c r="AF406" s="864" t="s">
        <v>754</v>
      </c>
      <c r="AG406" s="835" t="str">
        <f>+C406</f>
        <v>2- CHAPINERO</v>
      </c>
      <c r="AH406" s="865" t="s">
        <v>755</v>
      </c>
      <c r="AI406" s="865" t="s">
        <v>756</v>
      </c>
      <c r="AJ406" s="824" t="s">
        <v>751</v>
      </c>
      <c r="AK406" s="826" t="s">
        <v>490</v>
      </c>
      <c r="AL406" s="826" t="s">
        <v>178</v>
      </c>
      <c r="AM406" s="826" t="s">
        <v>752</v>
      </c>
      <c r="AN406" s="861">
        <v>179406</v>
      </c>
      <c r="AO406" s="820">
        <v>86201</v>
      </c>
      <c r="AP406" s="820">
        <v>93205</v>
      </c>
      <c r="AQ406" s="833" t="s">
        <v>492</v>
      </c>
      <c r="AR406" s="833" t="s">
        <v>492</v>
      </c>
      <c r="AS406" s="833" t="s">
        <v>492</v>
      </c>
      <c r="AT406" s="833" t="s">
        <v>492</v>
      </c>
      <c r="AU406" s="833" t="s">
        <v>492</v>
      </c>
      <c r="AV406" s="833" t="s">
        <v>492</v>
      </c>
      <c r="AW406" s="833" t="s">
        <v>492</v>
      </c>
      <c r="AX406" s="861">
        <v>179406</v>
      </c>
      <c r="AY406" s="862" t="s">
        <v>757</v>
      </c>
    </row>
    <row r="407" spans="1:51" ht="19.149999999999999" customHeight="1" x14ac:dyDescent="0.25">
      <c r="A407" s="828"/>
      <c r="B407" s="822"/>
      <c r="C407" s="838"/>
      <c r="D407" s="578" t="s">
        <v>349</v>
      </c>
      <c r="E407" s="583"/>
      <c r="F407" s="583"/>
      <c r="G407" s="583"/>
      <c r="H407" s="583"/>
      <c r="I407" s="575"/>
      <c r="J407" s="580">
        <v>19555333.333333332</v>
      </c>
      <c r="K407" s="580">
        <v>32592222.222222224</v>
      </c>
      <c r="L407" s="580">
        <v>39110666.666666664</v>
      </c>
      <c r="M407" s="580">
        <f>+M406*$Z$395/$Z$394</f>
        <v>45127692.307692304</v>
      </c>
      <c r="N407" s="582">
        <f>+N406*$AA$395/$AA$394</f>
        <v>69594292.857142851</v>
      </c>
      <c r="O407" s="582">
        <f>+O406*$AB$395/$AB$394</f>
        <v>72409600</v>
      </c>
      <c r="P407" s="580">
        <f>+P406*$AC$395/$AC$394</f>
        <v>70352509.090909094</v>
      </c>
      <c r="Q407" s="580">
        <f>+Q406*$AD$395/$AD$394</f>
        <v>65795261.538461536</v>
      </c>
      <c r="R407" s="580">
        <f>+R406*$AE$395/$AE$394</f>
        <v>70268048.172413796</v>
      </c>
      <c r="S407" s="580"/>
      <c r="T407" s="574"/>
      <c r="U407" s="580">
        <v>0</v>
      </c>
      <c r="V407" s="580">
        <v>0</v>
      </c>
      <c r="W407" s="580">
        <v>19555333.333333332</v>
      </c>
      <c r="X407" s="593">
        <v>32592222.222222224</v>
      </c>
      <c r="Y407" s="593">
        <v>39110666.666666664</v>
      </c>
      <c r="Z407" s="580">
        <f t="shared" si="115"/>
        <v>45127692.307692304</v>
      </c>
      <c r="AA407" s="580">
        <f t="shared" si="115"/>
        <v>69594292.857142851</v>
      </c>
      <c r="AB407" s="575">
        <f t="shared" si="115"/>
        <v>72409600</v>
      </c>
      <c r="AC407" s="575">
        <f t="shared" si="115"/>
        <v>70352509.090909094</v>
      </c>
      <c r="AD407" s="575">
        <f t="shared" si="115"/>
        <v>65795261.538461536</v>
      </c>
      <c r="AE407" s="580">
        <f t="shared" si="115"/>
        <v>70268048.172413796</v>
      </c>
      <c r="AF407" s="838"/>
      <c r="AG407" s="828"/>
      <c r="AH407" s="822"/>
      <c r="AI407" s="822"/>
      <c r="AJ407" s="822"/>
      <c r="AK407" s="806"/>
      <c r="AL407" s="806"/>
      <c r="AM407" s="806"/>
      <c r="AN407" s="806"/>
      <c r="AO407" s="806"/>
      <c r="AP407" s="806"/>
      <c r="AQ407" s="806"/>
      <c r="AR407" s="806"/>
      <c r="AS407" s="806"/>
      <c r="AT407" s="806"/>
      <c r="AU407" s="806"/>
      <c r="AV407" s="806"/>
      <c r="AW407" s="806"/>
      <c r="AX407" s="806"/>
      <c r="AY407" s="806"/>
    </row>
    <row r="408" spans="1:51" ht="28.9" customHeight="1" x14ac:dyDescent="0.25">
      <c r="A408" s="828"/>
      <c r="B408" s="822"/>
      <c r="C408" s="838"/>
      <c r="D408" s="579" t="s">
        <v>351</v>
      </c>
      <c r="E408" s="583"/>
      <c r="F408" s="583"/>
      <c r="G408" s="583"/>
      <c r="H408" s="583"/>
      <c r="I408" s="575"/>
      <c r="J408" s="575"/>
      <c r="K408" s="619"/>
      <c r="L408" s="575"/>
      <c r="M408" s="575"/>
      <c r="N408" s="573"/>
      <c r="O408" s="613"/>
      <c r="P408" s="575"/>
      <c r="Q408" s="575"/>
      <c r="R408" s="575"/>
      <c r="S408" s="575"/>
      <c r="T408" s="574"/>
      <c r="U408" s="580">
        <v>0</v>
      </c>
      <c r="V408" s="580">
        <v>0</v>
      </c>
      <c r="W408" s="580">
        <v>0</v>
      </c>
      <c r="X408" s="593">
        <v>0</v>
      </c>
      <c r="Y408" s="593">
        <v>0</v>
      </c>
      <c r="Z408" s="580">
        <f t="shared" si="115"/>
        <v>0</v>
      </c>
      <c r="AA408" s="580">
        <f t="shared" si="115"/>
        <v>0</v>
      </c>
      <c r="AB408" s="575">
        <f t="shared" si="115"/>
        <v>0</v>
      </c>
      <c r="AC408" s="575">
        <f t="shared" si="115"/>
        <v>0</v>
      </c>
      <c r="AD408" s="575">
        <f t="shared" si="115"/>
        <v>0</v>
      </c>
      <c r="AE408" s="575">
        <f t="shared" si="115"/>
        <v>0</v>
      </c>
      <c r="AF408" s="838"/>
      <c r="AG408" s="828"/>
      <c r="AH408" s="822"/>
      <c r="AI408" s="822"/>
      <c r="AJ408" s="822"/>
      <c r="AK408" s="806"/>
      <c r="AL408" s="806"/>
      <c r="AM408" s="806"/>
      <c r="AN408" s="806"/>
      <c r="AO408" s="806"/>
      <c r="AP408" s="806"/>
      <c r="AQ408" s="806"/>
      <c r="AR408" s="806"/>
      <c r="AS408" s="806"/>
      <c r="AT408" s="806"/>
      <c r="AU408" s="806"/>
      <c r="AV408" s="806"/>
      <c r="AW408" s="806"/>
      <c r="AX408" s="806"/>
      <c r="AY408" s="806"/>
    </row>
    <row r="409" spans="1:51" ht="28.9" customHeight="1" x14ac:dyDescent="0.25">
      <c r="A409" s="828"/>
      <c r="B409" s="822"/>
      <c r="C409" s="838"/>
      <c r="D409" s="578" t="s">
        <v>352</v>
      </c>
      <c r="E409" s="583"/>
      <c r="F409" s="583"/>
      <c r="G409" s="583"/>
      <c r="H409" s="583"/>
      <c r="I409" s="575"/>
      <c r="J409" s="575"/>
      <c r="K409" s="575">
        <v>2901193.5</v>
      </c>
      <c r="L409" s="575">
        <v>2901193.5</v>
      </c>
      <c r="M409" s="575">
        <v>2917277.1428571427</v>
      </c>
      <c r="N409" s="583">
        <v>2917277.1428571427</v>
      </c>
      <c r="O409" s="583">
        <v>2917277.1428571427</v>
      </c>
      <c r="P409" s="615">
        <v>3481981.5</v>
      </c>
      <c r="Q409" s="615">
        <v>3481981.5</v>
      </c>
      <c r="R409" s="615">
        <v>3481981.5</v>
      </c>
      <c r="S409" s="615"/>
      <c r="T409" s="574"/>
      <c r="U409" s="580">
        <v>0</v>
      </c>
      <c r="V409" s="580">
        <v>0</v>
      </c>
      <c r="W409" s="580">
        <v>0</v>
      </c>
      <c r="X409" s="593">
        <v>2901193.5</v>
      </c>
      <c r="Y409" s="593">
        <v>2901193.5</v>
      </c>
      <c r="Z409" s="580">
        <f t="shared" si="115"/>
        <v>2917277.1428571427</v>
      </c>
      <c r="AA409" s="580">
        <f t="shared" si="115"/>
        <v>2917277.1428571427</v>
      </c>
      <c r="AB409" s="575">
        <f t="shared" si="115"/>
        <v>2917277.1428571427</v>
      </c>
      <c r="AC409" s="575">
        <f t="shared" si="115"/>
        <v>3481981.5</v>
      </c>
      <c r="AD409" s="575">
        <f t="shared" si="115"/>
        <v>3481981.5</v>
      </c>
      <c r="AE409" s="615">
        <f t="shared" si="115"/>
        <v>3481981.5</v>
      </c>
      <c r="AF409" s="838"/>
      <c r="AG409" s="828"/>
      <c r="AH409" s="822"/>
      <c r="AI409" s="822"/>
      <c r="AJ409" s="822"/>
      <c r="AK409" s="806"/>
      <c r="AL409" s="806"/>
      <c r="AM409" s="806"/>
      <c r="AN409" s="806"/>
      <c r="AO409" s="806"/>
      <c r="AP409" s="806"/>
      <c r="AQ409" s="806"/>
      <c r="AR409" s="806"/>
      <c r="AS409" s="806"/>
      <c r="AT409" s="806"/>
      <c r="AU409" s="806"/>
      <c r="AV409" s="806"/>
      <c r="AW409" s="806"/>
      <c r="AX409" s="806"/>
      <c r="AY409" s="806"/>
    </row>
    <row r="410" spans="1:51" ht="28.9" customHeight="1" x14ac:dyDescent="0.25">
      <c r="A410" s="828"/>
      <c r="B410" s="822"/>
      <c r="C410" s="838"/>
      <c r="D410" s="579" t="s">
        <v>353</v>
      </c>
      <c r="E410" s="582"/>
      <c r="F410" s="582"/>
      <c r="G410" s="582"/>
      <c r="H410" s="582"/>
      <c r="I410" s="580"/>
      <c r="J410" s="580">
        <v>2</v>
      </c>
      <c r="K410" s="598">
        <v>5</v>
      </c>
      <c r="L410" s="580">
        <v>8</v>
      </c>
      <c r="M410" s="580">
        <v>10</v>
      </c>
      <c r="N410" s="582">
        <v>13</v>
      </c>
      <c r="O410" s="618">
        <v>16</v>
      </c>
      <c r="P410" s="580">
        <v>19</v>
      </c>
      <c r="Q410" s="580">
        <v>21</v>
      </c>
      <c r="R410" s="580">
        <v>22</v>
      </c>
      <c r="S410" s="580"/>
      <c r="T410" s="580"/>
      <c r="U410" s="580">
        <v>0</v>
      </c>
      <c r="V410" s="580">
        <v>0</v>
      </c>
      <c r="W410" s="580">
        <v>2</v>
      </c>
      <c r="X410" s="593">
        <v>5</v>
      </c>
      <c r="Y410" s="593">
        <v>8</v>
      </c>
      <c r="Z410" s="580">
        <f t="shared" si="115"/>
        <v>10</v>
      </c>
      <c r="AA410" s="580">
        <f t="shared" si="115"/>
        <v>13</v>
      </c>
      <c r="AB410" s="575">
        <f t="shared" si="115"/>
        <v>16</v>
      </c>
      <c r="AC410" s="575">
        <f t="shared" si="115"/>
        <v>19</v>
      </c>
      <c r="AD410" s="575">
        <f t="shared" si="115"/>
        <v>21</v>
      </c>
      <c r="AE410" s="580">
        <f t="shared" si="115"/>
        <v>22</v>
      </c>
      <c r="AF410" s="838"/>
      <c r="AG410" s="828"/>
      <c r="AH410" s="822"/>
      <c r="AI410" s="822"/>
      <c r="AJ410" s="822"/>
      <c r="AK410" s="806"/>
      <c r="AL410" s="806"/>
      <c r="AM410" s="806"/>
      <c r="AN410" s="806"/>
      <c r="AO410" s="806"/>
      <c r="AP410" s="806"/>
      <c r="AQ410" s="806"/>
      <c r="AR410" s="806"/>
      <c r="AS410" s="806"/>
      <c r="AT410" s="806"/>
      <c r="AU410" s="806"/>
      <c r="AV410" s="806"/>
      <c r="AW410" s="806"/>
      <c r="AX410" s="806"/>
      <c r="AY410" s="806"/>
    </row>
    <row r="411" spans="1:51" ht="28.9" customHeight="1" x14ac:dyDescent="0.25">
      <c r="A411" s="828"/>
      <c r="B411" s="822"/>
      <c r="C411" s="839"/>
      <c r="D411" s="578" t="s">
        <v>354</v>
      </c>
      <c r="E411" s="597"/>
      <c r="F411" s="597"/>
      <c r="G411" s="597"/>
      <c r="H411" s="583"/>
      <c r="I411" s="575"/>
      <c r="J411" s="575">
        <v>19555333.333333332</v>
      </c>
      <c r="K411" s="575">
        <v>35493415.722222224</v>
      </c>
      <c r="L411" s="596">
        <v>42011860.166666664</v>
      </c>
      <c r="M411" s="596">
        <f t="shared" ref="M411:R411" si="118">+M407+M409</f>
        <v>48044969.450549446</v>
      </c>
      <c r="N411" s="582">
        <f t="shared" si="118"/>
        <v>72511570</v>
      </c>
      <c r="O411" s="597">
        <f t="shared" si="118"/>
        <v>75326877.142857149</v>
      </c>
      <c r="P411" s="596">
        <f t="shared" si="118"/>
        <v>73834490.590909094</v>
      </c>
      <c r="Q411" s="596">
        <f t="shared" si="118"/>
        <v>69277243.038461536</v>
      </c>
      <c r="R411" s="596">
        <f t="shared" si="118"/>
        <v>73750029.672413796</v>
      </c>
      <c r="S411" s="596"/>
      <c r="T411" s="593"/>
      <c r="U411" s="580">
        <v>0</v>
      </c>
      <c r="V411" s="580">
        <v>0</v>
      </c>
      <c r="W411" s="580">
        <v>19555333.333333332</v>
      </c>
      <c r="X411" s="593">
        <v>35493415.722222224</v>
      </c>
      <c r="Y411" s="593">
        <v>42011860.166666664</v>
      </c>
      <c r="Z411" s="580">
        <f t="shared" si="115"/>
        <v>48044969.450549446</v>
      </c>
      <c r="AA411" s="580">
        <f t="shared" si="115"/>
        <v>72511570</v>
      </c>
      <c r="AB411" s="575">
        <f t="shared" si="115"/>
        <v>75326877.142857149</v>
      </c>
      <c r="AC411" s="575">
        <f t="shared" si="115"/>
        <v>73834490.590909094</v>
      </c>
      <c r="AD411" s="575">
        <f t="shared" si="115"/>
        <v>69277243.038461536</v>
      </c>
      <c r="AE411" s="596">
        <f t="shared" si="115"/>
        <v>73750029.672413796</v>
      </c>
      <c r="AF411" s="839"/>
      <c r="AG411" s="829"/>
      <c r="AH411" s="823"/>
      <c r="AI411" s="823"/>
      <c r="AJ411" s="823"/>
      <c r="AK411" s="807"/>
      <c r="AL411" s="807"/>
      <c r="AM411" s="807"/>
      <c r="AN411" s="807"/>
      <c r="AO411" s="807"/>
      <c r="AP411" s="807"/>
      <c r="AQ411" s="807"/>
      <c r="AR411" s="807"/>
      <c r="AS411" s="807"/>
      <c r="AT411" s="807"/>
      <c r="AU411" s="807"/>
      <c r="AV411" s="807"/>
      <c r="AW411" s="807"/>
      <c r="AX411" s="807"/>
      <c r="AY411" s="807"/>
    </row>
    <row r="412" spans="1:51" ht="19.149999999999999" customHeight="1" x14ac:dyDescent="0.25">
      <c r="A412" s="828"/>
      <c r="B412" s="822"/>
      <c r="C412" s="824" t="s">
        <v>522</v>
      </c>
      <c r="D412" s="572" t="s">
        <v>345</v>
      </c>
      <c r="E412" s="597"/>
      <c r="F412" s="597"/>
      <c r="G412" s="597"/>
      <c r="H412" s="583"/>
      <c r="I412" s="575"/>
      <c r="J412" s="575"/>
      <c r="K412" s="580"/>
      <c r="L412" s="575"/>
      <c r="M412" s="575"/>
      <c r="N412" s="582"/>
      <c r="O412" s="613"/>
      <c r="P412" s="580"/>
      <c r="Q412" s="575"/>
      <c r="R412" s="575"/>
      <c r="S412" s="575"/>
      <c r="T412" s="593"/>
      <c r="U412" s="580">
        <v>0</v>
      </c>
      <c r="V412" s="580">
        <v>0</v>
      </c>
      <c r="W412" s="580">
        <v>0</v>
      </c>
      <c r="X412" s="593">
        <v>0</v>
      </c>
      <c r="Y412" s="593">
        <v>0</v>
      </c>
      <c r="Z412" s="580">
        <f t="shared" si="115"/>
        <v>0</v>
      </c>
      <c r="AA412" s="580">
        <f t="shared" si="115"/>
        <v>0</v>
      </c>
      <c r="AB412" s="575">
        <f t="shared" si="115"/>
        <v>0</v>
      </c>
      <c r="AC412" s="575">
        <f t="shared" si="115"/>
        <v>0</v>
      </c>
      <c r="AD412" s="575">
        <f t="shared" si="115"/>
        <v>0</v>
      </c>
      <c r="AE412" s="575">
        <f t="shared" si="115"/>
        <v>0</v>
      </c>
      <c r="AF412" s="852"/>
      <c r="AG412" s="878" t="s">
        <v>758</v>
      </c>
      <c r="AH412" s="865" t="s">
        <v>759</v>
      </c>
      <c r="AI412" s="881" t="s">
        <v>760</v>
      </c>
      <c r="AJ412" s="824" t="s">
        <v>751</v>
      </c>
      <c r="AK412" s="826" t="s">
        <v>490</v>
      </c>
      <c r="AL412" s="826" t="s">
        <v>178</v>
      </c>
      <c r="AM412" s="826" t="s">
        <v>752</v>
      </c>
      <c r="AN412" s="861">
        <v>406498</v>
      </c>
      <c r="AO412" s="877">
        <v>195731</v>
      </c>
      <c r="AP412" s="877">
        <v>210767</v>
      </c>
      <c r="AQ412" s="833" t="s">
        <v>492</v>
      </c>
      <c r="AR412" s="833" t="s">
        <v>492</v>
      </c>
      <c r="AS412" s="833" t="s">
        <v>492</v>
      </c>
      <c r="AT412" s="833" t="s">
        <v>492</v>
      </c>
      <c r="AU412" s="833" t="s">
        <v>492</v>
      </c>
      <c r="AV412" s="833" t="s">
        <v>492</v>
      </c>
      <c r="AW412" s="833" t="s">
        <v>492</v>
      </c>
      <c r="AX412" s="861">
        <v>406498</v>
      </c>
      <c r="AY412" s="876" t="s">
        <v>761</v>
      </c>
    </row>
    <row r="413" spans="1:51" ht="19.149999999999999" customHeight="1" x14ac:dyDescent="0.25">
      <c r="A413" s="828"/>
      <c r="B413" s="822"/>
      <c r="C413" s="822"/>
      <c r="D413" s="578" t="s">
        <v>349</v>
      </c>
      <c r="E413" s="597"/>
      <c r="F413" s="597"/>
      <c r="G413" s="597"/>
      <c r="H413" s="583"/>
      <c r="I413" s="575"/>
      <c r="J413" s="575"/>
      <c r="K413" s="575"/>
      <c r="L413" s="575"/>
      <c r="M413" s="575"/>
      <c r="N413" s="583"/>
      <c r="O413" s="613"/>
      <c r="P413" s="615"/>
      <c r="Q413" s="575"/>
      <c r="R413" s="575"/>
      <c r="S413" s="575"/>
      <c r="T413" s="593"/>
      <c r="U413" s="580">
        <v>0</v>
      </c>
      <c r="V413" s="580">
        <v>0</v>
      </c>
      <c r="W413" s="580">
        <v>0</v>
      </c>
      <c r="X413" s="593">
        <v>0</v>
      </c>
      <c r="Y413" s="593">
        <v>0</v>
      </c>
      <c r="Z413" s="580">
        <f t="shared" si="115"/>
        <v>0</v>
      </c>
      <c r="AA413" s="580">
        <f t="shared" si="115"/>
        <v>0</v>
      </c>
      <c r="AB413" s="575">
        <f t="shared" si="115"/>
        <v>0</v>
      </c>
      <c r="AC413" s="575">
        <f t="shared" si="115"/>
        <v>0</v>
      </c>
      <c r="AD413" s="575">
        <f t="shared" si="115"/>
        <v>0</v>
      </c>
      <c r="AE413" s="575">
        <f t="shared" si="115"/>
        <v>0</v>
      </c>
      <c r="AF413" s="838"/>
      <c r="AG413" s="879"/>
      <c r="AH413" s="822"/>
      <c r="AI413" s="882"/>
      <c r="AJ413" s="822"/>
      <c r="AK413" s="806"/>
      <c r="AL413" s="806"/>
      <c r="AM413" s="806"/>
      <c r="AN413" s="806"/>
      <c r="AO413" s="856"/>
      <c r="AP413" s="856"/>
      <c r="AQ413" s="806"/>
      <c r="AR413" s="806"/>
      <c r="AS413" s="806"/>
      <c r="AT413" s="806"/>
      <c r="AU413" s="806"/>
      <c r="AV413" s="806"/>
      <c r="AW413" s="806"/>
      <c r="AX413" s="806"/>
      <c r="AY413" s="869"/>
    </row>
    <row r="414" spans="1:51" ht="28.9" customHeight="1" x14ac:dyDescent="0.25">
      <c r="A414" s="828"/>
      <c r="B414" s="822"/>
      <c r="C414" s="822"/>
      <c r="D414" s="579" t="s">
        <v>351</v>
      </c>
      <c r="E414" s="597"/>
      <c r="F414" s="597"/>
      <c r="G414" s="597"/>
      <c r="H414" s="583"/>
      <c r="I414" s="575"/>
      <c r="J414" s="575"/>
      <c r="K414" s="580"/>
      <c r="L414" s="575"/>
      <c r="M414" s="575"/>
      <c r="N414" s="583"/>
      <c r="O414" s="613"/>
      <c r="P414" s="575"/>
      <c r="Q414" s="575"/>
      <c r="R414" s="575"/>
      <c r="S414" s="575"/>
      <c r="T414" s="593"/>
      <c r="U414" s="580">
        <v>0</v>
      </c>
      <c r="V414" s="580">
        <v>0</v>
      </c>
      <c r="W414" s="580">
        <v>0</v>
      </c>
      <c r="X414" s="593">
        <v>0</v>
      </c>
      <c r="Y414" s="593">
        <v>0</v>
      </c>
      <c r="Z414" s="580">
        <f t="shared" si="115"/>
        <v>0</v>
      </c>
      <c r="AA414" s="580">
        <f t="shared" si="115"/>
        <v>0</v>
      </c>
      <c r="AB414" s="575">
        <f t="shared" si="115"/>
        <v>0</v>
      </c>
      <c r="AC414" s="575">
        <f t="shared" si="115"/>
        <v>0</v>
      </c>
      <c r="AD414" s="575">
        <f t="shared" si="115"/>
        <v>0</v>
      </c>
      <c r="AE414" s="575">
        <f t="shared" si="115"/>
        <v>0</v>
      </c>
      <c r="AF414" s="838"/>
      <c r="AG414" s="879"/>
      <c r="AH414" s="822"/>
      <c r="AI414" s="882"/>
      <c r="AJ414" s="822"/>
      <c r="AK414" s="806"/>
      <c r="AL414" s="806"/>
      <c r="AM414" s="806"/>
      <c r="AN414" s="806"/>
      <c r="AO414" s="856"/>
      <c r="AP414" s="856"/>
      <c r="AQ414" s="806"/>
      <c r="AR414" s="806"/>
      <c r="AS414" s="806"/>
      <c r="AT414" s="806"/>
      <c r="AU414" s="806"/>
      <c r="AV414" s="806"/>
      <c r="AW414" s="806"/>
      <c r="AX414" s="806"/>
      <c r="AY414" s="869"/>
    </row>
    <row r="415" spans="1:51" ht="28.9" customHeight="1" x14ac:dyDescent="0.25">
      <c r="A415" s="828"/>
      <c r="B415" s="822"/>
      <c r="C415" s="822"/>
      <c r="D415" s="578" t="s">
        <v>352</v>
      </c>
      <c r="E415" s="597"/>
      <c r="F415" s="597"/>
      <c r="G415" s="597"/>
      <c r="H415" s="583"/>
      <c r="I415" s="575"/>
      <c r="J415" s="575"/>
      <c r="K415" s="575"/>
      <c r="L415" s="575"/>
      <c r="M415" s="575"/>
      <c r="N415" s="583"/>
      <c r="O415" s="613"/>
      <c r="P415" s="615"/>
      <c r="Q415" s="575"/>
      <c r="R415" s="575"/>
      <c r="S415" s="575"/>
      <c r="T415" s="593"/>
      <c r="U415" s="580">
        <v>0</v>
      </c>
      <c r="V415" s="580">
        <v>0</v>
      </c>
      <c r="W415" s="580">
        <v>0</v>
      </c>
      <c r="X415" s="593">
        <v>0</v>
      </c>
      <c r="Y415" s="593">
        <v>0</v>
      </c>
      <c r="Z415" s="580">
        <f t="shared" si="115"/>
        <v>0</v>
      </c>
      <c r="AA415" s="580">
        <f t="shared" si="115"/>
        <v>0</v>
      </c>
      <c r="AB415" s="575">
        <f t="shared" si="115"/>
        <v>0</v>
      </c>
      <c r="AC415" s="575">
        <f t="shared" si="115"/>
        <v>0</v>
      </c>
      <c r="AD415" s="575">
        <f t="shared" si="115"/>
        <v>0</v>
      </c>
      <c r="AE415" s="575">
        <f t="shared" si="115"/>
        <v>0</v>
      </c>
      <c r="AF415" s="838"/>
      <c r="AG415" s="879"/>
      <c r="AH415" s="822"/>
      <c r="AI415" s="882"/>
      <c r="AJ415" s="822"/>
      <c r="AK415" s="806"/>
      <c r="AL415" s="806"/>
      <c r="AM415" s="806"/>
      <c r="AN415" s="806"/>
      <c r="AO415" s="856"/>
      <c r="AP415" s="856"/>
      <c r="AQ415" s="806"/>
      <c r="AR415" s="806"/>
      <c r="AS415" s="806"/>
      <c r="AT415" s="806"/>
      <c r="AU415" s="806"/>
      <c r="AV415" s="806"/>
      <c r="AW415" s="806"/>
      <c r="AX415" s="806"/>
      <c r="AY415" s="869"/>
    </row>
    <row r="416" spans="1:51" ht="28.9" customHeight="1" x14ac:dyDescent="0.25">
      <c r="A416" s="828"/>
      <c r="B416" s="822"/>
      <c r="C416" s="822"/>
      <c r="D416" s="579" t="s">
        <v>353</v>
      </c>
      <c r="E416" s="597"/>
      <c r="F416" s="597"/>
      <c r="G416" s="597"/>
      <c r="H416" s="583"/>
      <c r="I416" s="575"/>
      <c r="J416" s="575"/>
      <c r="K416" s="580"/>
      <c r="L416" s="575"/>
      <c r="M416" s="575"/>
      <c r="N416" s="582"/>
      <c r="O416" s="613"/>
      <c r="P416" s="580"/>
      <c r="Q416" s="575"/>
      <c r="R416" s="575"/>
      <c r="S416" s="575"/>
      <c r="T416" s="593"/>
      <c r="U416" s="580">
        <v>0</v>
      </c>
      <c r="V416" s="580">
        <v>0</v>
      </c>
      <c r="W416" s="580">
        <v>0</v>
      </c>
      <c r="X416" s="593">
        <v>0</v>
      </c>
      <c r="Y416" s="593">
        <v>0</v>
      </c>
      <c r="Z416" s="580">
        <f t="shared" ref="Z416:AE431" si="119">+M416</f>
        <v>0</v>
      </c>
      <c r="AA416" s="580">
        <f t="shared" si="119"/>
        <v>0</v>
      </c>
      <c r="AB416" s="575">
        <f t="shared" si="119"/>
        <v>0</v>
      </c>
      <c r="AC416" s="575">
        <f t="shared" si="119"/>
        <v>0</v>
      </c>
      <c r="AD416" s="575">
        <f t="shared" si="119"/>
        <v>0</v>
      </c>
      <c r="AE416" s="575">
        <f t="shared" si="119"/>
        <v>0</v>
      </c>
      <c r="AF416" s="838"/>
      <c r="AG416" s="879"/>
      <c r="AH416" s="822"/>
      <c r="AI416" s="882"/>
      <c r="AJ416" s="822"/>
      <c r="AK416" s="806"/>
      <c r="AL416" s="806"/>
      <c r="AM416" s="806"/>
      <c r="AN416" s="806"/>
      <c r="AO416" s="856"/>
      <c r="AP416" s="856"/>
      <c r="AQ416" s="806"/>
      <c r="AR416" s="806"/>
      <c r="AS416" s="806"/>
      <c r="AT416" s="806"/>
      <c r="AU416" s="806"/>
      <c r="AV416" s="806"/>
      <c r="AW416" s="806"/>
      <c r="AX416" s="806"/>
      <c r="AY416" s="869"/>
    </row>
    <row r="417" spans="1:51" ht="28.9" customHeight="1" x14ac:dyDescent="0.25">
      <c r="A417" s="828"/>
      <c r="B417" s="822"/>
      <c r="C417" s="823"/>
      <c r="D417" s="578" t="s">
        <v>354</v>
      </c>
      <c r="E417" s="597"/>
      <c r="F417" s="597"/>
      <c r="G417" s="597"/>
      <c r="H417" s="583"/>
      <c r="I417" s="575"/>
      <c r="J417" s="575"/>
      <c r="K417" s="596"/>
      <c r="L417" s="596"/>
      <c r="M417" s="596"/>
      <c r="N417" s="597"/>
      <c r="O417" s="618"/>
      <c r="P417" s="620"/>
      <c r="Q417" s="575"/>
      <c r="R417" s="575"/>
      <c r="S417" s="575"/>
      <c r="T417" s="593"/>
      <c r="U417" s="580">
        <v>0</v>
      </c>
      <c r="V417" s="580">
        <v>0</v>
      </c>
      <c r="W417" s="580">
        <v>0</v>
      </c>
      <c r="X417" s="593">
        <v>0</v>
      </c>
      <c r="Y417" s="593">
        <v>0</v>
      </c>
      <c r="Z417" s="580">
        <f t="shared" si="119"/>
        <v>0</v>
      </c>
      <c r="AA417" s="580">
        <f t="shared" si="119"/>
        <v>0</v>
      </c>
      <c r="AB417" s="575">
        <f t="shared" si="119"/>
        <v>0</v>
      </c>
      <c r="AC417" s="575">
        <f t="shared" si="119"/>
        <v>0</v>
      </c>
      <c r="AD417" s="575">
        <f t="shared" si="119"/>
        <v>0</v>
      </c>
      <c r="AE417" s="575">
        <f t="shared" si="119"/>
        <v>0</v>
      </c>
      <c r="AF417" s="839"/>
      <c r="AG417" s="880"/>
      <c r="AH417" s="823"/>
      <c r="AI417" s="883"/>
      <c r="AJ417" s="823"/>
      <c r="AK417" s="807"/>
      <c r="AL417" s="807"/>
      <c r="AM417" s="807"/>
      <c r="AN417" s="807"/>
      <c r="AO417" s="857"/>
      <c r="AP417" s="857"/>
      <c r="AQ417" s="807"/>
      <c r="AR417" s="807"/>
      <c r="AS417" s="807"/>
      <c r="AT417" s="807"/>
      <c r="AU417" s="807"/>
      <c r="AV417" s="807"/>
      <c r="AW417" s="807"/>
      <c r="AX417" s="807"/>
      <c r="AY417" s="870"/>
    </row>
    <row r="418" spans="1:51" ht="19.149999999999999" customHeight="1" x14ac:dyDescent="0.25">
      <c r="A418" s="828"/>
      <c r="B418" s="822"/>
      <c r="C418" s="824" t="s">
        <v>516</v>
      </c>
      <c r="D418" s="572" t="s">
        <v>345</v>
      </c>
      <c r="E418" s="582"/>
      <c r="F418" s="582"/>
      <c r="G418" s="582"/>
      <c r="H418" s="582"/>
      <c r="I418" s="580"/>
      <c r="J418" s="580">
        <v>2</v>
      </c>
      <c r="K418" s="598">
        <v>4</v>
      </c>
      <c r="L418" s="580">
        <v>6</v>
      </c>
      <c r="M418" s="580">
        <v>7</v>
      </c>
      <c r="N418" s="592">
        <v>7</v>
      </c>
      <c r="O418" s="618">
        <v>7</v>
      </c>
      <c r="P418" s="580">
        <v>7</v>
      </c>
      <c r="Q418" s="620">
        <v>8</v>
      </c>
      <c r="R418" s="620">
        <v>9</v>
      </c>
      <c r="S418" s="620"/>
      <c r="T418" s="615"/>
      <c r="U418" s="580">
        <v>0</v>
      </c>
      <c r="V418" s="580">
        <v>0</v>
      </c>
      <c r="W418" s="580">
        <v>2</v>
      </c>
      <c r="X418" s="593">
        <v>4</v>
      </c>
      <c r="Y418" s="593">
        <v>6</v>
      </c>
      <c r="Z418" s="580">
        <f t="shared" si="119"/>
        <v>7</v>
      </c>
      <c r="AA418" s="580">
        <f t="shared" si="119"/>
        <v>7</v>
      </c>
      <c r="AB418" s="575">
        <f t="shared" si="119"/>
        <v>7</v>
      </c>
      <c r="AC418" s="575">
        <f t="shared" si="119"/>
        <v>7</v>
      </c>
      <c r="AD418" s="575">
        <f t="shared" si="119"/>
        <v>8</v>
      </c>
      <c r="AE418" s="620">
        <f t="shared" si="119"/>
        <v>9</v>
      </c>
      <c r="AF418" s="864" t="s">
        <v>762</v>
      </c>
      <c r="AG418" s="835" t="str">
        <f>+C418</f>
        <v>3- SANTA FE</v>
      </c>
      <c r="AH418" s="865" t="s">
        <v>763</v>
      </c>
      <c r="AI418" s="865" t="s">
        <v>764</v>
      </c>
      <c r="AJ418" s="824" t="s">
        <v>751</v>
      </c>
      <c r="AK418" s="826" t="s">
        <v>490</v>
      </c>
      <c r="AL418" s="826" t="s">
        <v>765</v>
      </c>
      <c r="AM418" s="826" t="s">
        <v>752</v>
      </c>
      <c r="AN418" s="861">
        <v>107677</v>
      </c>
      <c r="AO418" s="820">
        <v>53035</v>
      </c>
      <c r="AP418" s="820">
        <v>54642</v>
      </c>
      <c r="AQ418" s="833" t="s">
        <v>492</v>
      </c>
      <c r="AR418" s="833" t="s">
        <v>492</v>
      </c>
      <c r="AS418" s="833" t="s">
        <v>492</v>
      </c>
      <c r="AT418" s="833" t="s">
        <v>492</v>
      </c>
      <c r="AU418" s="833" t="s">
        <v>492</v>
      </c>
      <c r="AV418" s="833" t="s">
        <v>492</v>
      </c>
      <c r="AW418" s="833" t="s">
        <v>492</v>
      </c>
      <c r="AX418" s="861">
        <v>107677</v>
      </c>
      <c r="AY418" s="862" t="s">
        <v>766</v>
      </c>
    </row>
    <row r="419" spans="1:51" ht="19.149999999999999" customHeight="1" x14ac:dyDescent="0.25">
      <c r="A419" s="828"/>
      <c r="B419" s="822"/>
      <c r="C419" s="822"/>
      <c r="D419" s="578" t="s">
        <v>349</v>
      </c>
      <c r="E419" s="583"/>
      <c r="F419" s="583"/>
      <c r="G419" s="583"/>
      <c r="H419" s="583"/>
      <c r="I419" s="575"/>
      <c r="J419" s="580">
        <v>19555333.333333332</v>
      </c>
      <c r="K419" s="580">
        <v>26073777.777777776</v>
      </c>
      <c r="L419" s="580">
        <v>29333000</v>
      </c>
      <c r="M419" s="580">
        <f>+M418*$Z$395/$Z$394</f>
        <v>31589384.615384616</v>
      </c>
      <c r="N419" s="582">
        <f>+N418*$AA$395/$AA$394</f>
        <v>37473850</v>
      </c>
      <c r="O419" s="582">
        <f>+O418*$AB$395/$AB$394</f>
        <v>31679200</v>
      </c>
      <c r="P419" s="580">
        <f>+P418*$AC$395/$AC$394</f>
        <v>25919345.454545453</v>
      </c>
      <c r="Q419" s="580">
        <f>+Q418*$AD$395/$AD$394</f>
        <v>25064861.53846154</v>
      </c>
      <c r="R419" s="580">
        <f>+R418*$AE$395/$AE$394</f>
        <v>28746019.706896551</v>
      </c>
      <c r="S419" s="580"/>
      <c r="T419" s="620"/>
      <c r="U419" s="580">
        <v>0</v>
      </c>
      <c r="V419" s="580">
        <v>0</v>
      </c>
      <c r="W419" s="580">
        <v>19555333.333333332</v>
      </c>
      <c r="X419" s="593">
        <v>26073777.777777776</v>
      </c>
      <c r="Y419" s="593">
        <v>29333000</v>
      </c>
      <c r="Z419" s="580">
        <f t="shared" si="119"/>
        <v>31589384.615384616</v>
      </c>
      <c r="AA419" s="580">
        <f t="shared" si="119"/>
        <v>37473850</v>
      </c>
      <c r="AB419" s="575">
        <f t="shared" si="119"/>
        <v>31679200</v>
      </c>
      <c r="AC419" s="575">
        <f t="shared" si="119"/>
        <v>25919345.454545453</v>
      </c>
      <c r="AD419" s="575">
        <f t="shared" si="119"/>
        <v>25064861.53846154</v>
      </c>
      <c r="AE419" s="580">
        <f t="shared" si="119"/>
        <v>28746019.706896551</v>
      </c>
      <c r="AF419" s="838"/>
      <c r="AG419" s="828"/>
      <c r="AH419" s="822"/>
      <c r="AI419" s="822"/>
      <c r="AJ419" s="822"/>
      <c r="AK419" s="806"/>
      <c r="AL419" s="806"/>
      <c r="AM419" s="806"/>
      <c r="AN419" s="806"/>
      <c r="AO419" s="806"/>
      <c r="AP419" s="806"/>
      <c r="AQ419" s="806"/>
      <c r="AR419" s="806"/>
      <c r="AS419" s="806"/>
      <c r="AT419" s="806"/>
      <c r="AU419" s="806"/>
      <c r="AV419" s="806"/>
      <c r="AW419" s="806"/>
      <c r="AX419" s="806"/>
      <c r="AY419" s="806"/>
    </row>
    <row r="420" spans="1:51" ht="28.9" customHeight="1" x14ac:dyDescent="0.25">
      <c r="A420" s="828"/>
      <c r="B420" s="822"/>
      <c r="C420" s="822"/>
      <c r="D420" s="579" t="s">
        <v>351</v>
      </c>
      <c r="E420" s="583"/>
      <c r="F420" s="583"/>
      <c r="G420" s="583"/>
      <c r="H420" s="583"/>
      <c r="I420" s="575"/>
      <c r="J420" s="575"/>
      <c r="K420" s="619"/>
      <c r="L420" s="575"/>
      <c r="M420" s="575"/>
      <c r="N420" s="573"/>
      <c r="O420" s="613"/>
      <c r="P420" s="615"/>
      <c r="Q420" s="615"/>
      <c r="R420" s="615"/>
      <c r="S420" s="615"/>
      <c r="T420" s="620"/>
      <c r="U420" s="580">
        <v>0</v>
      </c>
      <c r="V420" s="580">
        <v>0</v>
      </c>
      <c r="W420" s="580">
        <v>0</v>
      </c>
      <c r="X420" s="593">
        <v>0</v>
      </c>
      <c r="Y420" s="593">
        <v>0</v>
      </c>
      <c r="Z420" s="580">
        <f t="shared" si="119"/>
        <v>0</v>
      </c>
      <c r="AA420" s="580">
        <f t="shared" si="119"/>
        <v>0</v>
      </c>
      <c r="AB420" s="575">
        <f t="shared" si="119"/>
        <v>0</v>
      </c>
      <c r="AC420" s="575">
        <f t="shared" si="119"/>
        <v>0</v>
      </c>
      <c r="AD420" s="575">
        <f t="shared" si="119"/>
        <v>0</v>
      </c>
      <c r="AE420" s="615">
        <f t="shared" si="119"/>
        <v>0</v>
      </c>
      <c r="AF420" s="838"/>
      <c r="AG420" s="828"/>
      <c r="AH420" s="822"/>
      <c r="AI420" s="822"/>
      <c r="AJ420" s="822"/>
      <c r="AK420" s="806"/>
      <c r="AL420" s="806"/>
      <c r="AM420" s="806"/>
      <c r="AN420" s="806"/>
      <c r="AO420" s="806"/>
      <c r="AP420" s="806"/>
      <c r="AQ420" s="806"/>
      <c r="AR420" s="806"/>
      <c r="AS420" s="806"/>
      <c r="AT420" s="806"/>
      <c r="AU420" s="806"/>
      <c r="AV420" s="806"/>
      <c r="AW420" s="806"/>
      <c r="AX420" s="806"/>
      <c r="AY420" s="806"/>
    </row>
    <row r="421" spans="1:51" ht="28.9" customHeight="1" x14ac:dyDescent="0.25">
      <c r="A421" s="828"/>
      <c r="B421" s="822"/>
      <c r="C421" s="822"/>
      <c r="D421" s="578" t="s">
        <v>352</v>
      </c>
      <c r="E421" s="583"/>
      <c r="F421" s="583"/>
      <c r="G421" s="583"/>
      <c r="H421" s="583"/>
      <c r="I421" s="575"/>
      <c r="J421" s="575"/>
      <c r="K421" s="575">
        <v>2901193.5</v>
      </c>
      <c r="L421" s="575">
        <v>2901193.5</v>
      </c>
      <c r="M421" s="575">
        <v>2917277.1428571427</v>
      </c>
      <c r="N421" s="583">
        <v>2917277.1428571427</v>
      </c>
      <c r="O421" s="583">
        <v>2917277.1428571427</v>
      </c>
      <c r="P421" s="615">
        <v>3481981.5</v>
      </c>
      <c r="Q421" s="615">
        <v>3481981.5</v>
      </c>
      <c r="R421" s="615">
        <v>3481981.5</v>
      </c>
      <c r="S421" s="615"/>
      <c r="T421" s="620"/>
      <c r="U421" s="580">
        <v>0</v>
      </c>
      <c r="V421" s="580">
        <v>0</v>
      </c>
      <c r="W421" s="580">
        <v>0</v>
      </c>
      <c r="X421" s="593">
        <v>2901193.5</v>
      </c>
      <c r="Y421" s="593">
        <v>2901193.5</v>
      </c>
      <c r="Z421" s="580">
        <f t="shared" si="119"/>
        <v>2917277.1428571427</v>
      </c>
      <c r="AA421" s="580">
        <f t="shared" si="119"/>
        <v>2917277.1428571427</v>
      </c>
      <c r="AB421" s="575">
        <f t="shared" si="119"/>
        <v>2917277.1428571427</v>
      </c>
      <c r="AC421" s="575">
        <f t="shared" si="119"/>
        <v>3481981.5</v>
      </c>
      <c r="AD421" s="575">
        <f t="shared" si="119"/>
        <v>3481981.5</v>
      </c>
      <c r="AE421" s="615">
        <f t="shared" si="119"/>
        <v>3481981.5</v>
      </c>
      <c r="AF421" s="838"/>
      <c r="AG421" s="828"/>
      <c r="AH421" s="822"/>
      <c r="AI421" s="822"/>
      <c r="AJ421" s="822"/>
      <c r="AK421" s="806"/>
      <c r="AL421" s="806"/>
      <c r="AM421" s="806"/>
      <c r="AN421" s="806"/>
      <c r="AO421" s="806"/>
      <c r="AP421" s="806"/>
      <c r="AQ421" s="806"/>
      <c r="AR421" s="806"/>
      <c r="AS421" s="806"/>
      <c r="AT421" s="806"/>
      <c r="AU421" s="806"/>
      <c r="AV421" s="806"/>
      <c r="AW421" s="806"/>
      <c r="AX421" s="806"/>
      <c r="AY421" s="806"/>
    </row>
    <row r="422" spans="1:51" ht="28.9" customHeight="1" x14ac:dyDescent="0.25">
      <c r="A422" s="828"/>
      <c r="B422" s="822"/>
      <c r="C422" s="822"/>
      <c r="D422" s="579" t="s">
        <v>353</v>
      </c>
      <c r="E422" s="582"/>
      <c r="F422" s="582"/>
      <c r="G422" s="582"/>
      <c r="H422" s="582"/>
      <c r="I422" s="580"/>
      <c r="J422" s="580">
        <v>2</v>
      </c>
      <c r="K422" s="598">
        <v>4</v>
      </c>
      <c r="L422" s="580">
        <v>6</v>
      </c>
      <c r="M422" s="580">
        <v>7</v>
      </c>
      <c r="N422" s="582">
        <v>7</v>
      </c>
      <c r="O422" s="618">
        <v>7</v>
      </c>
      <c r="P422" s="580">
        <v>7</v>
      </c>
      <c r="Q422" s="620">
        <v>8</v>
      </c>
      <c r="R422" s="620">
        <v>9</v>
      </c>
      <c r="S422" s="620"/>
      <c r="T422" s="620"/>
      <c r="U422" s="580">
        <v>0</v>
      </c>
      <c r="V422" s="580">
        <v>0</v>
      </c>
      <c r="W422" s="580">
        <v>2</v>
      </c>
      <c r="X422" s="593">
        <v>4</v>
      </c>
      <c r="Y422" s="593">
        <v>6</v>
      </c>
      <c r="Z422" s="580">
        <f t="shared" si="119"/>
        <v>7</v>
      </c>
      <c r="AA422" s="580">
        <f t="shared" si="119"/>
        <v>7</v>
      </c>
      <c r="AB422" s="575">
        <f t="shared" si="119"/>
        <v>7</v>
      </c>
      <c r="AC422" s="575">
        <f t="shared" si="119"/>
        <v>7</v>
      </c>
      <c r="AD422" s="575">
        <f t="shared" si="119"/>
        <v>8</v>
      </c>
      <c r="AE422" s="620">
        <f t="shared" si="119"/>
        <v>9</v>
      </c>
      <c r="AF422" s="838"/>
      <c r="AG422" s="828"/>
      <c r="AH422" s="822"/>
      <c r="AI422" s="822"/>
      <c r="AJ422" s="822"/>
      <c r="AK422" s="806"/>
      <c r="AL422" s="806"/>
      <c r="AM422" s="806"/>
      <c r="AN422" s="806"/>
      <c r="AO422" s="806"/>
      <c r="AP422" s="806"/>
      <c r="AQ422" s="806"/>
      <c r="AR422" s="806"/>
      <c r="AS422" s="806"/>
      <c r="AT422" s="806"/>
      <c r="AU422" s="806"/>
      <c r="AV422" s="806"/>
      <c r="AW422" s="806"/>
      <c r="AX422" s="806"/>
      <c r="AY422" s="806"/>
    </row>
    <row r="423" spans="1:51" ht="28.9" customHeight="1" x14ac:dyDescent="0.25">
      <c r="A423" s="828"/>
      <c r="B423" s="822"/>
      <c r="C423" s="823"/>
      <c r="D423" s="578" t="s">
        <v>354</v>
      </c>
      <c r="E423" s="597"/>
      <c r="F423" s="597"/>
      <c r="G423" s="597"/>
      <c r="H423" s="583"/>
      <c r="I423" s="575"/>
      <c r="J423" s="575">
        <v>19555333.333333332</v>
      </c>
      <c r="K423" s="575">
        <v>28974971.277777776</v>
      </c>
      <c r="L423" s="596">
        <v>32234193.5</v>
      </c>
      <c r="M423" s="596">
        <f t="shared" ref="M423:R423" si="120">+M419+M421</f>
        <v>34506661.758241758</v>
      </c>
      <c r="N423" s="582">
        <f t="shared" si="120"/>
        <v>40391127.142857142</v>
      </c>
      <c r="O423" s="597">
        <f t="shared" si="120"/>
        <v>34596477.142857142</v>
      </c>
      <c r="P423" s="596">
        <f t="shared" si="120"/>
        <v>29401326.954545453</v>
      </c>
      <c r="Q423" s="596">
        <f t="shared" si="120"/>
        <v>28546843.03846154</v>
      </c>
      <c r="R423" s="596">
        <f t="shared" si="120"/>
        <v>32228001.206896551</v>
      </c>
      <c r="S423" s="596"/>
      <c r="T423" s="615"/>
      <c r="U423" s="580">
        <v>0</v>
      </c>
      <c r="V423" s="580">
        <v>0</v>
      </c>
      <c r="W423" s="580">
        <v>19555333.333333332</v>
      </c>
      <c r="X423" s="593">
        <v>28974971.277777776</v>
      </c>
      <c r="Y423" s="593">
        <v>32234193.5</v>
      </c>
      <c r="Z423" s="580">
        <f t="shared" si="119"/>
        <v>34506661.758241758</v>
      </c>
      <c r="AA423" s="580">
        <f t="shared" si="119"/>
        <v>40391127.142857142</v>
      </c>
      <c r="AB423" s="575">
        <f t="shared" si="119"/>
        <v>34596477.142857142</v>
      </c>
      <c r="AC423" s="575">
        <f t="shared" si="119"/>
        <v>29401326.954545453</v>
      </c>
      <c r="AD423" s="575">
        <f t="shared" si="119"/>
        <v>28546843.03846154</v>
      </c>
      <c r="AE423" s="596">
        <f t="shared" si="119"/>
        <v>32228001.206896551</v>
      </c>
      <c r="AF423" s="839"/>
      <c r="AG423" s="829"/>
      <c r="AH423" s="823"/>
      <c r="AI423" s="823"/>
      <c r="AJ423" s="823"/>
      <c r="AK423" s="807"/>
      <c r="AL423" s="807"/>
      <c r="AM423" s="807"/>
      <c r="AN423" s="807"/>
      <c r="AO423" s="807"/>
      <c r="AP423" s="807"/>
      <c r="AQ423" s="807"/>
      <c r="AR423" s="807"/>
      <c r="AS423" s="807"/>
      <c r="AT423" s="807"/>
      <c r="AU423" s="807"/>
      <c r="AV423" s="807"/>
      <c r="AW423" s="807"/>
      <c r="AX423" s="807"/>
      <c r="AY423" s="807"/>
    </row>
    <row r="424" spans="1:51" ht="19.149999999999999" customHeight="1" x14ac:dyDescent="0.25">
      <c r="A424" s="828"/>
      <c r="B424" s="822"/>
      <c r="C424" s="837" t="s">
        <v>758</v>
      </c>
      <c r="D424" s="572" t="s">
        <v>345</v>
      </c>
      <c r="E424" s="582"/>
      <c r="F424" s="582"/>
      <c r="G424" s="582"/>
      <c r="H424" s="582"/>
      <c r="I424" s="580"/>
      <c r="J424" s="580"/>
      <c r="K424" s="580"/>
      <c r="L424" s="580"/>
      <c r="M424" s="580"/>
      <c r="N424" s="592"/>
      <c r="O424" s="618"/>
      <c r="P424" s="620"/>
      <c r="Q424" s="620"/>
      <c r="R424" s="620">
        <v>2</v>
      </c>
      <c r="S424" s="620"/>
      <c r="T424" s="615"/>
      <c r="U424" s="580">
        <v>0</v>
      </c>
      <c r="V424" s="580">
        <v>0</v>
      </c>
      <c r="W424" s="580">
        <v>0</v>
      </c>
      <c r="X424" s="593">
        <v>0</v>
      </c>
      <c r="Y424" s="593">
        <v>0</v>
      </c>
      <c r="Z424" s="580">
        <f t="shared" si="119"/>
        <v>0</v>
      </c>
      <c r="AA424" s="580">
        <f t="shared" si="119"/>
        <v>0</v>
      </c>
      <c r="AB424" s="575">
        <f t="shared" si="119"/>
        <v>0</v>
      </c>
      <c r="AC424" s="575">
        <f t="shared" si="119"/>
        <v>0</v>
      </c>
      <c r="AD424" s="575">
        <f t="shared" si="119"/>
        <v>0</v>
      </c>
      <c r="AE424" s="620">
        <f t="shared" si="119"/>
        <v>2</v>
      </c>
      <c r="AF424" s="875" t="s">
        <v>767</v>
      </c>
      <c r="AG424" s="835" t="str">
        <f>+C424</f>
        <v>SAN CRISTOBAL</v>
      </c>
      <c r="AH424" s="865" t="s">
        <v>768</v>
      </c>
      <c r="AI424" s="865" t="s">
        <v>769</v>
      </c>
      <c r="AJ424" s="824" t="s">
        <v>751</v>
      </c>
      <c r="AK424" s="826" t="s">
        <v>490</v>
      </c>
      <c r="AL424" s="826">
        <v>1</v>
      </c>
      <c r="AM424" s="826" t="s">
        <v>752</v>
      </c>
      <c r="AN424" s="861">
        <v>406498</v>
      </c>
      <c r="AO424" s="820">
        <v>195731</v>
      </c>
      <c r="AP424" s="820">
        <v>210767</v>
      </c>
      <c r="AQ424" s="833" t="s">
        <v>492</v>
      </c>
      <c r="AR424" s="833" t="s">
        <v>492</v>
      </c>
      <c r="AS424" s="833" t="s">
        <v>492</v>
      </c>
      <c r="AT424" s="833" t="s">
        <v>492</v>
      </c>
      <c r="AU424" s="833" t="s">
        <v>492</v>
      </c>
      <c r="AV424" s="833" t="s">
        <v>492</v>
      </c>
      <c r="AW424" s="833" t="s">
        <v>492</v>
      </c>
      <c r="AX424" s="861">
        <v>406574</v>
      </c>
      <c r="AY424" s="874" t="s">
        <v>770</v>
      </c>
    </row>
    <row r="425" spans="1:51" ht="19.149999999999999" customHeight="1" x14ac:dyDescent="0.25">
      <c r="A425" s="828"/>
      <c r="B425" s="822"/>
      <c r="C425" s="838"/>
      <c r="D425" s="578" t="s">
        <v>349</v>
      </c>
      <c r="E425" s="583"/>
      <c r="F425" s="583"/>
      <c r="G425" s="583"/>
      <c r="H425" s="583"/>
      <c r="I425" s="575"/>
      <c r="J425" s="575"/>
      <c r="K425" s="575"/>
      <c r="L425" s="575"/>
      <c r="M425" s="575"/>
      <c r="N425" s="573"/>
      <c r="O425" s="613"/>
      <c r="P425" s="615"/>
      <c r="Q425" s="615"/>
      <c r="R425" s="615">
        <f>+R424*$AE$395/$AE$394</f>
        <v>6388004.3793103453</v>
      </c>
      <c r="S425" s="615"/>
      <c r="T425" s="620"/>
      <c r="U425" s="580">
        <v>0</v>
      </c>
      <c r="V425" s="580">
        <v>0</v>
      </c>
      <c r="W425" s="580">
        <v>0</v>
      </c>
      <c r="X425" s="593">
        <v>0</v>
      </c>
      <c r="Y425" s="593">
        <v>0</v>
      </c>
      <c r="Z425" s="580">
        <f t="shared" si="119"/>
        <v>0</v>
      </c>
      <c r="AA425" s="580">
        <f t="shared" si="119"/>
        <v>0</v>
      </c>
      <c r="AB425" s="575">
        <f t="shared" si="119"/>
        <v>0</v>
      </c>
      <c r="AC425" s="575">
        <f t="shared" si="119"/>
        <v>0</v>
      </c>
      <c r="AD425" s="575">
        <f t="shared" si="119"/>
        <v>0</v>
      </c>
      <c r="AE425" s="615">
        <f t="shared" si="119"/>
        <v>6388004.3793103453</v>
      </c>
      <c r="AF425" s="838"/>
      <c r="AG425" s="828"/>
      <c r="AH425" s="822"/>
      <c r="AI425" s="822"/>
      <c r="AJ425" s="822"/>
      <c r="AK425" s="806"/>
      <c r="AL425" s="806"/>
      <c r="AM425" s="806"/>
      <c r="AN425" s="806"/>
      <c r="AO425" s="806"/>
      <c r="AP425" s="806"/>
      <c r="AQ425" s="806"/>
      <c r="AR425" s="806"/>
      <c r="AS425" s="806"/>
      <c r="AT425" s="806"/>
      <c r="AU425" s="806"/>
      <c r="AV425" s="806"/>
      <c r="AW425" s="806"/>
      <c r="AX425" s="806"/>
      <c r="AY425" s="806"/>
    </row>
    <row r="426" spans="1:51" ht="28.9" customHeight="1" x14ac:dyDescent="0.25">
      <c r="A426" s="828"/>
      <c r="B426" s="822"/>
      <c r="C426" s="838"/>
      <c r="D426" s="579" t="s">
        <v>351</v>
      </c>
      <c r="E426" s="583"/>
      <c r="F426" s="583"/>
      <c r="G426" s="583"/>
      <c r="H426" s="583"/>
      <c r="I426" s="575"/>
      <c r="J426" s="575"/>
      <c r="K426" s="575"/>
      <c r="L426" s="575"/>
      <c r="M426" s="575"/>
      <c r="N426" s="573"/>
      <c r="O426" s="613"/>
      <c r="P426" s="615"/>
      <c r="Q426" s="615"/>
      <c r="R426" s="615"/>
      <c r="S426" s="615"/>
      <c r="T426" s="620"/>
      <c r="U426" s="580">
        <v>0</v>
      </c>
      <c r="V426" s="580">
        <v>0</v>
      </c>
      <c r="W426" s="580">
        <v>0</v>
      </c>
      <c r="X426" s="593">
        <v>0</v>
      </c>
      <c r="Y426" s="593">
        <v>0</v>
      </c>
      <c r="Z426" s="580">
        <f t="shared" si="119"/>
        <v>0</v>
      </c>
      <c r="AA426" s="580">
        <f t="shared" si="119"/>
        <v>0</v>
      </c>
      <c r="AB426" s="575">
        <f t="shared" si="119"/>
        <v>0</v>
      </c>
      <c r="AC426" s="575">
        <f t="shared" si="119"/>
        <v>0</v>
      </c>
      <c r="AD426" s="575">
        <f t="shared" si="119"/>
        <v>0</v>
      </c>
      <c r="AE426" s="615">
        <f t="shared" si="119"/>
        <v>0</v>
      </c>
      <c r="AF426" s="838"/>
      <c r="AG426" s="828"/>
      <c r="AH426" s="822"/>
      <c r="AI426" s="822"/>
      <c r="AJ426" s="822"/>
      <c r="AK426" s="806"/>
      <c r="AL426" s="806"/>
      <c r="AM426" s="806"/>
      <c r="AN426" s="806"/>
      <c r="AO426" s="806"/>
      <c r="AP426" s="806"/>
      <c r="AQ426" s="806"/>
      <c r="AR426" s="806"/>
      <c r="AS426" s="806"/>
      <c r="AT426" s="806"/>
      <c r="AU426" s="806"/>
      <c r="AV426" s="806"/>
      <c r="AW426" s="806"/>
      <c r="AX426" s="806"/>
      <c r="AY426" s="806"/>
    </row>
    <row r="427" spans="1:51" ht="28.9" customHeight="1" x14ac:dyDescent="0.25">
      <c r="A427" s="828"/>
      <c r="B427" s="822"/>
      <c r="C427" s="838"/>
      <c r="D427" s="578" t="s">
        <v>352</v>
      </c>
      <c r="E427" s="583"/>
      <c r="F427" s="583"/>
      <c r="G427" s="583"/>
      <c r="H427" s="583"/>
      <c r="I427" s="575"/>
      <c r="J427" s="575"/>
      <c r="K427" s="575"/>
      <c r="L427" s="575"/>
      <c r="M427" s="575"/>
      <c r="N427" s="573"/>
      <c r="O427" s="613"/>
      <c r="P427" s="615"/>
      <c r="Q427" s="615"/>
      <c r="R427" s="615"/>
      <c r="S427" s="615"/>
      <c r="T427" s="620"/>
      <c r="U427" s="580">
        <v>0</v>
      </c>
      <c r="V427" s="580">
        <v>0</v>
      </c>
      <c r="W427" s="580">
        <v>0</v>
      </c>
      <c r="X427" s="593">
        <v>0</v>
      </c>
      <c r="Y427" s="593">
        <v>0</v>
      </c>
      <c r="Z427" s="580">
        <f t="shared" si="119"/>
        <v>0</v>
      </c>
      <c r="AA427" s="580">
        <f t="shared" si="119"/>
        <v>0</v>
      </c>
      <c r="AB427" s="575">
        <f t="shared" si="119"/>
        <v>0</v>
      </c>
      <c r="AC427" s="575">
        <f t="shared" si="119"/>
        <v>0</v>
      </c>
      <c r="AD427" s="575">
        <f t="shared" si="119"/>
        <v>0</v>
      </c>
      <c r="AE427" s="615">
        <f t="shared" si="119"/>
        <v>0</v>
      </c>
      <c r="AF427" s="838"/>
      <c r="AG427" s="828"/>
      <c r="AH427" s="822"/>
      <c r="AI427" s="822"/>
      <c r="AJ427" s="822"/>
      <c r="AK427" s="806"/>
      <c r="AL427" s="806"/>
      <c r="AM427" s="806"/>
      <c r="AN427" s="806"/>
      <c r="AO427" s="806"/>
      <c r="AP427" s="806"/>
      <c r="AQ427" s="806"/>
      <c r="AR427" s="806"/>
      <c r="AS427" s="806"/>
      <c r="AT427" s="806"/>
      <c r="AU427" s="806"/>
      <c r="AV427" s="806"/>
      <c r="AW427" s="806"/>
      <c r="AX427" s="806"/>
      <c r="AY427" s="806"/>
    </row>
    <row r="428" spans="1:51" ht="28.9" customHeight="1" x14ac:dyDescent="0.25">
      <c r="A428" s="828"/>
      <c r="B428" s="822"/>
      <c r="C428" s="838"/>
      <c r="D428" s="579" t="s">
        <v>353</v>
      </c>
      <c r="E428" s="582"/>
      <c r="F428" s="582"/>
      <c r="G428" s="582"/>
      <c r="H428" s="582"/>
      <c r="I428" s="580"/>
      <c r="J428" s="580"/>
      <c r="K428" s="580"/>
      <c r="L428" s="580"/>
      <c r="M428" s="580"/>
      <c r="N428" s="582"/>
      <c r="O428" s="618"/>
      <c r="P428" s="620"/>
      <c r="Q428" s="620"/>
      <c r="R428" s="620">
        <v>2</v>
      </c>
      <c r="S428" s="620"/>
      <c r="T428" s="620"/>
      <c r="U428" s="580">
        <v>0</v>
      </c>
      <c r="V428" s="580">
        <v>0</v>
      </c>
      <c r="W428" s="580">
        <v>0</v>
      </c>
      <c r="X428" s="593">
        <v>0</v>
      </c>
      <c r="Y428" s="593">
        <v>0</v>
      </c>
      <c r="Z428" s="580">
        <f t="shared" si="119"/>
        <v>0</v>
      </c>
      <c r="AA428" s="580">
        <f t="shared" si="119"/>
        <v>0</v>
      </c>
      <c r="AB428" s="575">
        <f t="shared" si="119"/>
        <v>0</v>
      </c>
      <c r="AC428" s="575">
        <f t="shared" si="119"/>
        <v>0</v>
      </c>
      <c r="AD428" s="575">
        <f t="shared" si="119"/>
        <v>0</v>
      </c>
      <c r="AE428" s="620">
        <f t="shared" si="119"/>
        <v>2</v>
      </c>
      <c r="AF428" s="838"/>
      <c r="AG428" s="828"/>
      <c r="AH428" s="822"/>
      <c r="AI428" s="822"/>
      <c r="AJ428" s="822"/>
      <c r="AK428" s="806"/>
      <c r="AL428" s="806"/>
      <c r="AM428" s="806"/>
      <c r="AN428" s="806"/>
      <c r="AO428" s="806"/>
      <c r="AP428" s="806"/>
      <c r="AQ428" s="806"/>
      <c r="AR428" s="806"/>
      <c r="AS428" s="806"/>
      <c r="AT428" s="806"/>
      <c r="AU428" s="806"/>
      <c r="AV428" s="806"/>
      <c r="AW428" s="806"/>
      <c r="AX428" s="806"/>
      <c r="AY428" s="806"/>
    </row>
    <row r="429" spans="1:51" ht="28.9" customHeight="1" x14ac:dyDescent="0.25">
      <c r="A429" s="828"/>
      <c r="B429" s="822"/>
      <c r="C429" s="839"/>
      <c r="D429" s="578" t="s">
        <v>354</v>
      </c>
      <c r="E429" s="597"/>
      <c r="F429" s="597"/>
      <c r="G429" s="597"/>
      <c r="H429" s="597"/>
      <c r="I429" s="596"/>
      <c r="J429" s="596"/>
      <c r="K429" s="596"/>
      <c r="L429" s="596"/>
      <c r="M429" s="596"/>
      <c r="N429" s="592"/>
      <c r="O429" s="618"/>
      <c r="P429" s="620"/>
      <c r="Q429" s="615"/>
      <c r="R429" s="615">
        <f>+R425+R427</f>
        <v>6388004.3793103453</v>
      </c>
      <c r="S429" s="615"/>
      <c r="T429" s="615"/>
      <c r="U429" s="580">
        <v>0</v>
      </c>
      <c r="V429" s="580">
        <v>0</v>
      </c>
      <c r="W429" s="580">
        <v>0</v>
      </c>
      <c r="X429" s="593">
        <v>0</v>
      </c>
      <c r="Y429" s="593">
        <v>0</v>
      </c>
      <c r="Z429" s="580">
        <f t="shared" si="119"/>
        <v>0</v>
      </c>
      <c r="AA429" s="580">
        <f t="shared" si="119"/>
        <v>0</v>
      </c>
      <c r="AB429" s="575">
        <f t="shared" si="119"/>
        <v>0</v>
      </c>
      <c r="AC429" s="575">
        <f t="shared" si="119"/>
        <v>0</v>
      </c>
      <c r="AD429" s="575">
        <f t="shared" si="119"/>
        <v>0</v>
      </c>
      <c r="AE429" s="615">
        <f t="shared" si="119"/>
        <v>6388004.3793103453</v>
      </c>
      <c r="AF429" s="839"/>
      <c r="AG429" s="829"/>
      <c r="AH429" s="823"/>
      <c r="AI429" s="823"/>
      <c r="AJ429" s="823"/>
      <c r="AK429" s="807"/>
      <c r="AL429" s="807"/>
      <c r="AM429" s="807"/>
      <c r="AN429" s="807"/>
      <c r="AO429" s="807"/>
      <c r="AP429" s="807"/>
      <c r="AQ429" s="807"/>
      <c r="AR429" s="807"/>
      <c r="AS429" s="807"/>
      <c r="AT429" s="807"/>
      <c r="AU429" s="807"/>
      <c r="AV429" s="807"/>
      <c r="AW429" s="807"/>
      <c r="AX429" s="807"/>
      <c r="AY429" s="807"/>
    </row>
    <row r="430" spans="1:51" ht="19.149999999999999" customHeight="1" x14ac:dyDescent="0.25">
      <c r="A430" s="828"/>
      <c r="B430" s="822"/>
      <c r="C430" s="824" t="s">
        <v>531</v>
      </c>
      <c r="D430" s="572" t="s">
        <v>345</v>
      </c>
      <c r="E430" s="582"/>
      <c r="F430" s="582"/>
      <c r="G430" s="582"/>
      <c r="H430" s="582"/>
      <c r="I430" s="580"/>
      <c r="J430" s="580"/>
      <c r="K430" s="580"/>
      <c r="L430" s="580"/>
      <c r="M430" s="580"/>
      <c r="N430" s="582"/>
      <c r="O430" s="618"/>
      <c r="P430" s="580"/>
      <c r="Q430" s="620"/>
      <c r="R430" s="620"/>
      <c r="S430" s="620"/>
      <c r="T430" s="615"/>
      <c r="U430" s="580">
        <v>0</v>
      </c>
      <c r="V430" s="580">
        <v>0</v>
      </c>
      <c r="W430" s="580">
        <v>0</v>
      </c>
      <c r="X430" s="593">
        <v>0</v>
      </c>
      <c r="Y430" s="593">
        <v>0</v>
      </c>
      <c r="Z430" s="580">
        <f t="shared" si="119"/>
        <v>0</v>
      </c>
      <c r="AA430" s="580">
        <f t="shared" si="119"/>
        <v>0</v>
      </c>
      <c r="AB430" s="575">
        <f t="shared" si="119"/>
        <v>0</v>
      </c>
      <c r="AC430" s="575">
        <f t="shared" si="119"/>
        <v>0</v>
      </c>
      <c r="AD430" s="575">
        <f t="shared" si="119"/>
        <v>0</v>
      </c>
      <c r="AE430" s="620">
        <f t="shared" si="119"/>
        <v>0</v>
      </c>
      <c r="AF430" s="852"/>
      <c r="AG430" s="835" t="str">
        <f>+C430</f>
        <v>5- USME</v>
      </c>
      <c r="AH430" s="865" t="s">
        <v>708</v>
      </c>
      <c r="AI430" s="865" t="s">
        <v>771</v>
      </c>
      <c r="AJ430" s="824" t="s">
        <v>751</v>
      </c>
      <c r="AK430" s="826" t="s">
        <v>490</v>
      </c>
      <c r="AL430" s="826" t="s">
        <v>765</v>
      </c>
      <c r="AM430" s="826" t="s">
        <v>752</v>
      </c>
      <c r="AN430" s="861">
        <v>407645</v>
      </c>
      <c r="AO430" s="820">
        <v>201919</v>
      </c>
      <c r="AP430" s="820">
        <v>205726</v>
      </c>
      <c r="AQ430" s="833" t="s">
        <v>492</v>
      </c>
      <c r="AR430" s="833" t="s">
        <v>492</v>
      </c>
      <c r="AS430" s="833" t="s">
        <v>492</v>
      </c>
      <c r="AT430" s="833" t="s">
        <v>492</v>
      </c>
      <c r="AU430" s="833" t="s">
        <v>492</v>
      </c>
      <c r="AV430" s="833" t="s">
        <v>492</v>
      </c>
      <c r="AW430" s="833" t="s">
        <v>492</v>
      </c>
      <c r="AX430" s="861">
        <v>407645</v>
      </c>
      <c r="AY430" s="872" t="s">
        <v>772</v>
      </c>
    </row>
    <row r="431" spans="1:51" ht="19.149999999999999" customHeight="1" x14ac:dyDescent="0.25">
      <c r="A431" s="828"/>
      <c r="B431" s="822"/>
      <c r="C431" s="822"/>
      <c r="D431" s="578" t="s">
        <v>349</v>
      </c>
      <c r="E431" s="583"/>
      <c r="F431" s="583"/>
      <c r="G431" s="583"/>
      <c r="H431" s="583"/>
      <c r="I431" s="575"/>
      <c r="J431" s="575"/>
      <c r="K431" s="575"/>
      <c r="L431" s="575"/>
      <c r="M431" s="575"/>
      <c r="N431" s="583"/>
      <c r="O431" s="613"/>
      <c r="P431" s="615"/>
      <c r="Q431" s="615"/>
      <c r="R431" s="615"/>
      <c r="S431" s="615"/>
      <c r="T431" s="620"/>
      <c r="U431" s="580">
        <v>0</v>
      </c>
      <c r="V431" s="580">
        <v>0</v>
      </c>
      <c r="W431" s="580">
        <v>0</v>
      </c>
      <c r="X431" s="593">
        <v>0</v>
      </c>
      <c r="Y431" s="593">
        <v>0</v>
      </c>
      <c r="Z431" s="580">
        <f t="shared" si="119"/>
        <v>0</v>
      </c>
      <c r="AA431" s="580">
        <f t="shared" si="119"/>
        <v>0</v>
      </c>
      <c r="AB431" s="575">
        <f t="shared" si="119"/>
        <v>0</v>
      </c>
      <c r="AC431" s="575">
        <f t="shared" si="119"/>
        <v>0</v>
      </c>
      <c r="AD431" s="575">
        <f t="shared" si="119"/>
        <v>0</v>
      </c>
      <c r="AE431" s="615">
        <f t="shared" si="119"/>
        <v>0</v>
      </c>
      <c r="AF431" s="838"/>
      <c r="AG431" s="828"/>
      <c r="AH431" s="822"/>
      <c r="AI431" s="822"/>
      <c r="AJ431" s="822"/>
      <c r="AK431" s="806"/>
      <c r="AL431" s="806"/>
      <c r="AM431" s="806"/>
      <c r="AN431" s="806"/>
      <c r="AO431" s="806"/>
      <c r="AP431" s="806"/>
      <c r="AQ431" s="806"/>
      <c r="AR431" s="806"/>
      <c r="AS431" s="806"/>
      <c r="AT431" s="806"/>
      <c r="AU431" s="806"/>
      <c r="AV431" s="806"/>
      <c r="AW431" s="806"/>
      <c r="AX431" s="806"/>
      <c r="AY431" s="806"/>
    </row>
    <row r="432" spans="1:51" ht="28.9" customHeight="1" x14ac:dyDescent="0.25">
      <c r="A432" s="828"/>
      <c r="B432" s="822"/>
      <c r="C432" s="822"/>
      <c r="D432" s="579" t="s">
        <v>351</v>
      </c>
      <c r="E432" s="583"/>
      <c r="F432" s="583"/>
      <c r="G432" s="583"/>
      <c r="H432" s="583"/>
      <c r="I432" s="575"/>
      <c r="J432" s="575"/>
      <c r="K432" s="575"/>
      <c r="L432" s="575"/>
      <c r="M432" s="575"/>
      <c r="N432" s="573"/>
      <c r="O432" s="613"/>
      <c r="P432" s="620"/>
      <c r="Q432" s="615"/>
      <c r="R432" s="615"/>
      <c r="S432" s="615"/>
      <c r="T432" s="620"/>
      <c r="U432" s="580">
        <v>0</v>
      </c>
      <c r="V432" s="580">
        <v>0</v>
      </c>
      <c r="W432" s="580">
        <v>0</v>
      </c>
      <c r="X432" s="593">
        <v>0</v>
      </c>
      <c r="Y432" s="593">
        <v>0</v>
      </c>
      <c r="Z432" s="580">
        <f t="shared" ref="Z432:AE447" si="121">+M432</f>
        <v>0</v>
      </c>
      <c r="AA432" s="580">
        <f t="shared" si="121"/>
        <v>0</v>
      </c>
      <c r="AB432" s="575">
        <f t="shared" si="121"/>
        <v>0</v>
      </c>
      <c r="AC432" s="575">
        <f t="shared" si="121"/>
        <v>0</v>
      </c>
      <c r="AD432" s="575">
        <f t="shared" si="121"/>
        <v>0</v>
      </c>
      <c r="AE432" s="615">
        <f t="shared" si="121"/>
        <v>0</v>
      </c>
      <c r="AF432" s="838"/>
      <c r="AG432" s="828"/>
      <c r="AH432" s="822"/>
      <c r="AI432" s="822"/>
      <c r="AJ432" s="822"/>
      <c r="AK432" s="806"/>
      <c r="AL432" s="806"/>
      <c r="AM432" s="806"/>
      <c r="AN432" s="806"/>
      <c r="AO432" s="806"/>
      <c r="AP432" s="806"/>
      <c r="AQ432" s="806"/>
      <c r="AR432" s="806"/>
      <c r="AS432" s="806"/>
      <c r="AT432" s="806"/>
      <c r="AU432" s="806"/>
      <c r="AV432" s="806"/>
      <c r="AW432" s="806"/>
      <c r="AX432" s="806"/>
      <c r="AY432" s="806"/>
    </row>
    <row r="433" spans="1:51" ht="28.9" customHeight="1" x14ac:dyDescent="0.25">
      <c r="A433" s="828"/>
      <c r="B433" s="822"/>
      <c r="C433" s="822"/>
      <c r="D433" s="578" t="s">
        <v>352</v>
      </c>
      <c r="E433" s="583"/>
      <c r="F433" s="583"/>
      <c r="G433" s="583"/>
      <c r="H433" s="583"/>
      <c r="I433" s="575"/>
      <c r="J433" s="575"/>
      <c r="K433" s="575"/>
      <c r="L433" s="575"/>
      <c r="M433" s="575"/>
      <c r="N433" s="583"/>
      <c r="O433" s="613"/>
      <c r="P433" s="615"/>
      <c r="Q433" s="615"/>
      <c r="R433" s="615"/>
      <c r="S433" s="615"/>
      <c r="T433" s="620"/>
      <c r="U433" s="580">
        <v>0</v>
      </c>
      <c r="V433" s="580">
        <v>0</v>
      </c>
      <c r="W433" s="580">
        <v>0</v>
      </c>
      <c r="X433" s="593">
        <v>0</v>
      </c>
      <c r="Y433" s="593">
        <v>0</v>
      </c>
      <c r="Z433" s="580">
        <f t="shared" si="121"/>
        <v>0</v>
      </c>
      <c r="AA433" s="580">
        <f t="shared" si="121"/>
        <v>0</v>
      </c>
      <c r="AB433" s="575">
        <f t="shared" si="121"/>
        <v>0</v>
      </c>
      <c r="AC433" s="575">
        <f t="shared" si="121"/>
        <v>0</v>
      </c>
      <c r="AD433" s="575">
        <f t="shared" si="121"/>
        <v>0</v>
      </c>
      <c r="AE433" s="615">
        <f t="shared" si="121"/>
        <v>0</v>
      </c>
      <c r="AF433" s="838"/>
      <c r="AG433" s="828"/>
      <c r="AH433" s="822"/>
      <c r="AI433" s="822"/>
      <c r="AJ433" s="822"/>
      <c r="AK433" s="806"/>
      <c r="AL433" s="806"/>
      <c r="AM433" s="806"/>
      <c r="AN433" s="806"/>
      <c r="AO433" s="806"/>
      <c r="AP433" s="806"/>
      <c r="AQ433" s="806"/>
      <c r="AR433" s="806"/>
      <c r="AS433" s="806"/>
      <c r="AT433" s="806"/>
      <c r="AU433" s="806"/>
      <c r="AV433" s="806"/>
      <c r="AW433" s="806"/>
      <c r="AX433" s="806"/>
      <c r="AY433" s="806"/>
    </row>
    <row r="434" spans="1:51" ht="28.9" customHeight="1" x14ac:dyDescent="0.25">
      <c r="A434" s="828"/>
      <c r="B434" s="822"/>
      <c r="C434" s="822"/>
      <c r="D434" s="579" t="s">
        <v>353</v>
      </c>
      <c r="E434" s="582"/>
      <c r="F434" s="582"/>
      <c r="G434" s="582"/>
      <c r="H434" s="582"/>
      <c r="I434" s="580"/>
      <c r="J434" s="580"/>
      <c r="K434" s="580"/>
      <c r="L434" s="580"/>
      <c r="M434" s="580"/>
      <c r="N434" s="582"/>
      <c r="O434" s="618"/>
      <c r="P434" s="580"/>
      <c r="Q434" s="620"/>
      <c r="R434" s="620"/>
      <c r="S434" s="620"/>
      <c r="T434" s="620"/>
      <c r="U434" s="580">
        <v>0</v>
      </c>
      <c r="V434" s="580">
        <v>0</v>
      </c>
      <c r="W434" s="580">
        <v>0</v>
      </c>
      <c r="X434" s="593">
        <v>0</v>
      </c>
      <c r="Y434" s="593">
        <v>0</v>
      </c>
      <c r="Z434" s="580">
        <f t="shared" si="121"/>
        <v>0</v>
      </c>
      <c r="AA434" s="580">
        <f t="shared" si="121"/>
        <v>0</v>
      </c>
      <c r="AB434" s="575">
        <f t="shared" si="121"/>
        <v>0</v>
      </c>
      <c r="AC434" s="575">
        <f t="shared" si="121"/>
        <v>0</v>
      </c>
      <c r="AD434" s="575">
        <f t="shared" si="121"/>
        <v>0</v>
      </c>
      <c r="AE434" s="620">
        <f t="shared" si="121"/>
        <v>0</v>
      </c>
      <c r="AF434" s="838"/>
      <c r="AG434" s="828"/>
      <c r="AH434" s="822"/>
      <c r="AI434" s="822"/>
      <c r="AJ434" s="822"/>
      <c r="AK434" s="806"/>
      <c r="AL434" s="806"/>
      <c r="AM434" s="806"/>
      <c r="AN434" s="806"/>
      <c r="AO434" s="806"/>
      <c r="AP434" s="806"/>
      <c r="AQ434" s="806"/>
      <c r="AR434" s="806"/>
      <c r="AS434" s="806"/>
      <c r="AT434" s="806"/>
      <c r="AU434" s="806"/>
      <c r="AV434" s="806"/>
      <c r="AW434" s="806"/>
      <c r="AX434" s="806"/>
      <c r="AY434" s="806"/>
    </row>
    <row r="435" spans="1:51" ht="28.9" customHeight="1" x14ac:dyDescent="0.25">
      <c r="A435" s="828"/>
      <c r="B435" s="822"/>
      <c r="C435" s="823"/>
      <c r="D435" s="578" t="s">
        <v>354</v>
      </c>
      <c r="E435" s="597"/>
      <c r="F435" s="597"/>
      <c r="G435" s="597"/>
      <c r="H435" s="597"/>
      <c r="I435" s="596"/>
      <c r="J435" s="596"/>
      <c r="K435" s="596"/>
      <c r="L435" s="596"/>
      <c r="M435" s="596"/>
      <c r="N435" s="597"/>
      <c r="O435" s="618"/>
      <c r="P435" s="620"/>
      <c r="Q435" s="615"/>
      <c r="R435" s="615"/>
      <c r="S435" s="615"/>
      <c r="T435" s="615"/>
      <c r="U435" s="580">
        <v>0</v>
      </c>
      <c r="V435" s="580">
        <v>0</v>
      </c>
      <c r="W435" s="580">
        <v>0</v>
      </c>
      <c r="X435" s="593">
        <v>0</v>
      </c>
      <c r="Y435" s="593">
        <v>0</v>
      </c>
      <c r="Z435" s="580">
        <f t="shared" si="121"/>
        <v>0</v>
      </c>
      <c r="AA435" s="580">
        <f t="shared" si="121"/>
        <v>0</v>
      </c>
      <c r="AB435" s="575">
        <f t="shared" si="121"/>
        <v>0</v>
      </c>
      <c r="AC435" s="575">
        <f t="shared" si="121"/>
        <v>0</v>
      </c>
      <c r="AD435" s="575">
        <f t="shared" si="121"/>
        <v>0</v>
      </c>
      <c r="AE435" s="615">
        <f t="shared" si="121"/>
        <v>0</v>
      </c>
      <c r="AF435" s="839"/>
      <c r="AG435" s="829"/>
      <c r="AH435" s="823"/>
      <c r="AI435" s="823"/>
      <c r="AJ435" s="823"/>
      <c r="AK435" s="807"/>
      <c r="AL435" s="807"/>
      <c r="AM435" s="807"/>
      <c r="AN435" s="807"/>
      <c r="AO435" s="807"/>
      <c r="AP435" s="807"/>
      <c r="AQ435" s="807"/>
      <c r="AR435" s="807"/>
      <c r="AS435" s="807"/>
      <c r="AT435" s="807"/>
      <c r="AU435" s="807"/>
      <c r="AV435" s="807"/>
      <c r="AW435" s="807"/>
      <c r="AX435" s="807"/>
      <c r="AY435" s="807"/>
    </row>
    <row r="436" spans="1:51" ht="19.149999999999999" customHeight="1" x14ac:dyDescent="0.25">
      <c r="A436" s="828"/>
      <c r="B436" s="822"/>
      <c r="C436" s="837" t="s">
        <v>621</v>
      </c>
      <c r="D436" s="572" t="s">
        <v>345</v>
      </c>
      <c r="E436" s="582"/>
      <c r="F436" s="582"/>
      <c r="G436" s="582"/>
      <c r="H436" s="582"/>
      <c r="I436" s="580"/>
      <c r="J436" s="580"/>
      <c r="K436" s="580"/>
      <c r="L436" s="580"/>
      <c r="M436" s="580"/>
      <c r="N436" s="582"/>
      <c r="O436" s="618">
        <v>2</v>
      </c>
      <c r="P436" s="580">
        <v>4</v>
      </c>
      <c r="Q436" s="620">
        <v>5</v>
      </c>
      <c r="R436" s="620">
        <v>5</v>
      </c>
      <c r="S436" s="620"/>
      <c r="T436" s="620"/>
      <c r="U436" s="580">
        <v>0</v>
      </c>
      <c r="V436" s="580">
        <v>0</v>
      </c>
      <c r="W436" s="580">
        <v>0</v>
      </c>
      <c r="X436" s="593">
        <v>0</v>
      </c>
      <c r="Y436" s="593">
        <v>0</v>
      </c>
      <c r="Z436" s="580">
        <f t="shared" si="121"/>
        <v>0</v>
      </c>
      <c r="AA436" s="580">
        <f t="shared" si="121"/>
        <v>0</v>
      </c>
      <c r="AB436" s="575">
        <f t="shared" si="121"/>
        <v>2</v>
      </c>
      <c r="AC436" s="575">
        <f t="shared" si="121"/>
        <v>4</v>
      </c>
      <c r="AD436" s="575">
        <f t="shared" si="121"/>
        <v>5</v>
      </c>
      <c r="AE436" s="620">
        <f t="shared" si="121"/>
        <v>5</v>
      </c>
      <c r="AF436" s="873" t="s">
        <v>773</v>
      </c>
      <c r="AG436" s="835" t="str">
        <f>+C436</f>
        <v>6- TUNJUELITO</v>
      </c>
      <c r="AH436" s="865" t="s">
        <v>622</v>
      </c>
      <c r="AI436" s="865" t="s">
        <v>774</v>
      </c>
      <c r="AJ436" s="824" t="s">
        <v>751</v>
      </c>
      <c r="AK436" s="826" t="s">
        <v>490</v>
      </c>
      <c r="AL436" s="826" t="s">
        <v>765</v>
      </c>
      <c r="AM436" s="826" t="s">
        <v>752</v>
      </c>
      <c r="AN436" s="861">
        <v>182943</v>
      </c>
      <c r="AO436" s="820">
        <v>90946</v>
      </c>
      <c r="AP436" s="820">
        <v>91997</v>
      </c>
      <c r="AQ436" s="833" t="s">
        <v>492</v>
      </c>
      <c r="AR436" s="833" t="s">
        <v>492</v>
      </c>
      <c r="AS436" s="833" t="s">
        <v>492</v>
      </c>
      <c r="AT436" s="833" t="s">
        <v>492</v>
      </c>
      <c r="AU436" s="833" t="s">
        <v>492</v>
      </c>
      <c r="AV436" s="833" t="s">
        <v>492</v>
      </c>
      <c r="AW436" s="833" t="s">
        <v>492</v>
      </c>
      <c r="AX436" s="861">
        <v>182943</v>
      </c>
      <c r="AY436" s="871" t="s">
        <v>775</v>
      </c>
    </row>
    <row r="437" spans="1:51" ht="19.149999999999999" customHeight="1" x14ac:dyDescent="0.25">
      <c r="A437" s="828"/>
      <c r="B437" s="822"/>
      <c r="C437" s="838"/>
      <c r="D437" s="578" t="s">
        <v>349</v>
      </c>
      <c r="E437" s="583"/>
      <c r="F437" s="583"/>
      <c r="G437" s="583"/>
      <c r="H437" s="583"/>
      <c r="I437" s="575"/>
      <c r="J437" s="575"/>
      <c r="K437" s="575"/>
      <c r="L437" s="575"/>
      <c r="M437" s="575"/>
      <c r="N437" s="583"/>
      <c r="O437" s="582">
        <f>+O436*$AB$395/$AB$394</f>
        <v>9051200</v>
      </c>
      <c r="P437" s="580">
        <f>+P436*$AC$395/$AC$394</f>
        <v>14811054.545454545</v>
      </c>
      <c r="Q437" s="580">
        <f>+Q436*$AD$395/$AD$394</f>
        <v>15665538.461538462</v>
      </c>
      <c r="R437" s="580">
        <f>+R436*$AE$395/$AE$394</f>
        <v>15970010.948275862</v>
      </c>
      <c r="S437" s="580"/>
      <c r="T437" s="615"/>
      <c r="U437" s="580">
        <v>0</v>
      </c>
      <c r="V437" s="580">
        <v>0</v>
      </c>
      <c r="W437" s="580">
        <v>0</v>
      </c>
      <c r="X437" s="593">
        <v>0</v>
      </c>
      <c r="Y437" s="593">
        <v>0</v>
      </c>
      <c r="Z437" s="580">
        <f t="shared" si="121"/>
        <v>0</v>
      </c>
      <c r="AA437" s="580">
        <f t="shared" si="121"/>
        <v>0</v>
      </c>
      <c r="AB437" s="575">
        <f t="shared" si="121"/>
        <v>9051200</v>
      </c>
      <c r="AC437" s="575">
        <f t="shared" si="121"/>
        <v>14811054.545454545</v>
      </c>
      <c r="AD437" s="575">
        <f t="shared" si="121"/>
        <v>15665538.461538462</v>
      </c>
      <c r="AE437" s="580">
        <f t="shared" si="121"/>
        <v>15970010.948275862</v>
      </c>
      <c r="AF437" s="838"/>
      <c r="AG437" s="828"/>
      <c r="AH437" s="822"/>
      <c r="AI437" s="822"/>
      <c r="AJ437" s="822"/>
      <c r="AK437" s="806"/>
      <c r="AL437" s="806"/>
      <c r="AM437" s="806"/>
      <c r="AN437" s="806"/>
      <c r="AO437" s="806"/>
      <c r="AP437" s="806"/>
      <c r="AQ437" s="806"/>
      <c r="AR437" s="806"/>
      <c r="AS437" s="806"/>
      <c r="AT437" s="806"/>
      <c r="AU437" s="806"/>
      <c r="AV437" s="806"/>
      <c r="AW437" s="806"/>
      <c r="AX437" s="806"/>
      <c r="AY437" s="806"/>
    </row>
    <row r="438" spans="1:51" ht="28.9" customHeight="1" x14ac:dyDescent="0.25">
      <c r="A438" s="828"/>
      <c r="B438" s="822"/>
      <c r="C438" s="838"/>
      <c r="D438" s="579" t="s">
        <v>351</v>
      </c>
      <c r="E438" s="583"/>
      <c r="F438" s="583"/>
      <c r="G438" s="583"/>
      <c r="H438" s="583"/>
      <c r="I438" s="575"/>
      <c r="J438" s="575"/>
      <c r="K438" s="575"/>
      <c r="L438" s="575"/>
      <c r="M438" s="575"/>
      <c r="N438" s="573"/>
      <c r="O438" s="613"/>
      <c r="P438" s="615"/>
      <c r="Q438" s="615"/>
      <c r="R438" s="615"/>
      <c r="S438" s="615"/>
      <c r="T438" s="615"/>
      <c r="U438" s="580">
        <v>0</v>
      </c>
      <c r="V438" s="580">
        <v>0</v>
      </c>
      <c r="W438" s="580">
        <v>0</v>
      </c>
      <c r="X438" s="593">
        <v>0</v>
      </c>
      <c r="Y438" s="593">
        <v>0</v>
      </c>
      <c r="Z438" s="580">
        <f t="shared" si="121"/>
        <v>0</v>
      </c>
      <c r="AA438" s="580">
        <f t="shared" si="121"/>
        <v>0</v>
      </c>
      <c r="AB438" s="575">
        <f t="shared" si="121"/>
        <v>0</v>
      </c>
      <c r="AC438" s="575">
        <f t="shared" si="121"/>
        <v>0</v>
      </c>
      <c r="AD438" s="575">
        <f t="shared" si="121"/>
        <v>0</v>
      </c>
      <c r="AE438" s="615">
        <f t="shared" si="121"/>
        <v>0</v>
      </c>
      <c r="AF438" s="838"/>
      <c r="AG438" s="828"/>
      <c r="AH438" s="822"/>
      <c r="AI438" s="822"/>
      <c r="AJ438" s="822"/>
      <c r="AK438" s="806"/>
      <c r="AL438" s="806"/>
      <c r="AM438" s="806"/>
      <c r="AN438" s="806"/>
      <c r="AO438" s="806"/>
      <c r="AP438" s="806"/>
      <c r="AQ438" s="806"/>
      <c r="AR438" s="806"/>
      <c r="AS438" s="806"/>
      <c r="AT438" s="806"/>
      <c r="AU438" s="806"/>
      <c r="AV438" s="806"/>
      <c r="AW438" s="806"/>
      <c r="AX438" s="806"/>
      <c r="AY438" s="806"/>
    </row>
    <row r="439" spans="1:51" ht="28.9" customHeight="1" x14ac:dyDescent="0.25">
      <c r="A439" s="828"/>
      <c r="B439" s="822"/>
      <c r="C439" s="838"/>
      <c r="D439" s="578" t="s">
        <v>352</v>
      </c>
      <c r="E439" s="583"/>
      <c r="F439" s="583"/>
      <c r="G439" s="583"/>
      <c r="H439" s="583"/>
      <c r="I439" s="575"/>
      <c r="J439" s="575"/>
      <c r="K439" s="575"/>
      <c r="L439" s="575"/>
      <c r="M439" s="575"/>
      <c r="N439" s="573"/>
      <c r="O439" s="613"/>
      <c r="P439" s="615">
        <v>3481981.5</v>
      </c>
      <c r="Q439" s="615">
        <v>3481981.5</v>
      </c>
      <c r="R439" s="615">
        <v>3481981.5</v>
      </c>
      <c r="S439" s="615"/>
      <c r="T439" s="615"/>
      <c r="U439" s="580">
        <v>0</v>
      </c>
      <c r="V439" s="580">
        <v>0</v>
      </c>
      <c r="W439" s="580">
        <v>0</v>
      </c>
      <c r="X439" s="593">
        <v>0</v>
      </c>
      <c r="Y439" s="593">
        <v>0</v>
      </c>
      <c r="Z439" s="580">
        <f t="shared" si="121"/>
        <v>0</v>
      </c>
      <c r="AA439" s="580">
        <f t="shared" si="121"/>
        <v>0</v>
      </c>
      <c r="AB439" s="575">
        <f t="shared" si="121"/>
        <v>0</v>
      </c>
      <c r="AC439" s="575">
        <f t="shared" si="121"/>
        <v>3481981.5</v>
      </c>
      <c r="AD439" s="575">
        <f t="shared" si="121"/>
        <v>3481981.5</v>
      </c>
      <c r="AE439" s="615">
        <f t="shared" si="121"/>
        <v>3481981.5</v>
      </c>
      <c r="AF439" s="838"/>
      <c r="AG439" s="828"/>
      <c r="AH439" s="822"/>
      <c r="AI439" s="822"/>
      <c r="AJ439" s="822"/>
      <c r="AK439" s="806"/>
      <c r="AL439" s="806"/>
      <c r="AM439" s="806"/>
      <c r="AN439" s="806"/>
      <c r="AO439" s="806"/>
      <c r="AP439" s="806"/>
      <c r="AQ439" s="806"/>
      <c r="AR439" s="806"/>
      <c r="AS439" s="806"/>
      <c r="AT439" s="806"/>
      <c r="AU439" s="806"/>
      <c r="AV439" s="806"/>
      <c r="AW439" s="806"/>
      <c r="AX439" s="806"/>
      <c r="AY439" s="806"/>
    </row>
    <row r="440" spans="1:51" ht="28.9" customHeight="1" x14ac:dyDescent="0.25">
      <c r="A440" s="828"/>
      <c r="B440" s="822"/>
      <c r="C440" s="838"/>
      <c r="D440" s="579" t="s">
        <v>353</v>
      </c>
      <c r="E440" s="582"/>
      <c r="F440" s="582"/>
      <c r="G440" s="582"/>
      <c r="H440" s="582"/>
      <c r="I440" s="580"/>
      <c r="J440" s="580"/>
      <c r="K440" s="580"/>
      <c r="L440" s="580"/>
      <c r="M440" s="580"/>
      <c r="N440" s="582"/>
      <c r="O440" s="618">
        <v>2</v>
      </c>
      <c r="P440" s="580">
        <v>4</v>
      </c>
      <c r="Q440" s="620">
        <v>5</v>
      </c>
      <c r="R440" s="620">
        <v>5</v>
      </c>
      <c r="S440" s="620"/>
      <c r="T440" s="620"/>
      <c r="U440" s="580">
        <v>0</v>
      </c>
      <c r="V440" s="580">
        <v>0</v>
      </c>
      <c r="W440" s="580">
        <v>0</v>
      </c>
      <c r="X440" s="593">
        <v>0</v>
      </c>
      <c r="Y440" s="593">
        <v>0</v>
      </c>
      <c r="Z440" s="580">
        <f t="shared" si="121"/>
        <v>0</v>
      </c>
      <c r="AA440" s="580">
        <f t="shared" si="121"/>
        <v>0</v>
      </c>
      <c r="AB440" s="575">
        <f t="shared" si="121"/>
        <v>2</v>
      </c>
      <c r="AC440" s="575">
        <f t="shared" si="121"/>
        <v>4</v>
      </c>
      <c r="AD440" s="575">
        <f t="shared" si="121"/>
        <v>5</v>
      </c>
      <c r="AE440" s="620">
        <f t="shared" si="121"/>
        <v>5</v>
      </c>
      <c r="AF440" s="838"/>
      <c r="AG440" s="828"/>
      <c r="AH440" s="822"/>
      <c r="AI440" s="822"/>
      <c r="AJ440" s="822"/>
      <c r="AK440" s="806"/>
      <c r="AL440" s="806"/>
      <c r="AM440" s="806"/>
      <c r="AN440" s="806"/>
      <c r="AO440" s="806"/>
      <c r="AP440" s="806"/>
      <c r="AQ440" s="806"/>
      <c r="AR440" s="806"/>
      <c r="AS440" s="806"/>
      <c r="AT440" s="806"/>
      <c r="AU440" s="806"/>
      <c r="AV440" s="806"/>
      <c r="AW440" s="806"/>
      <c r="AX440" s="806"/>
      <c r="AY440" s="806"/>
    </row>
    <row r="441" spans="1:51" ht="28.9" customHeight="1" x14ac:dyDescent="0.25">
      <c r="A441" s="828"/>
      <c r="B441" s="822"/>
      <c r="C441" s="839"/>
      <c r="D441" s="578" t="s">
        <v>354</v>
      </c>
      <c r="E441" s="597"/>
      <c r="F441" s="597"/>
      <c r="G441" s="583"/>
      <c r="H441" s="583"/>
      <c r="I441" s="575"/>
      <c r="J441" s="575"/>
      <c r="K441" s="575"/>
      <c r="L441" s="575"/>
      <c r="M441" s="575"/>
      <c r="N441" s="597"/>
      <c r="O441" s="597">
        <f t="shared" ref="O441:R441" si="122">+O437+O439</f>
        <v>9051200</v>
      </c>
      <c r="P441" s="596">
        <f t="shared" si="122"/>
        <v>18293036.045454547</v>
      </c>
      <c r="Q441" s="596">
        <f t="shared" si="122"/>
        <v>19147519.961538464</v>
      </c>
      <c r="R441" s="596">
        <f t="shared" si="122"/>
        <v>19451992.448275864</v>
      </c>
      <c r="S441" s="596"/>
      <c r="T441" s="620"/>
      <c r="U441" s="580">
        <v>0</v>
      </c>
      <c r="V441" s="580">
        <v>0</v>
      </c>
      <c r="W441" s="580">
        <v>0</v>
      </c>
      <c r="X441" s="593">
        <v>0</v>
      </c>
      <c r="Y441" s="593">
        <v>0</v>
      </c>
      <c r="Z441" s="580">
        <f t="shared" si="121"/>
        <v>0</v>
      </c>
      <c r="AA441" s="580">
        <f t="shared" si="121"/>
        <v>0</v>
      </c>
      <c r="AB441" s="575">
        <f t="shared" si="121"/>
        <v>9051200</v>
      </c>
      <c r="AC441" s="575">
        <f t="shared" si="121"/>
        <v>18293036.045454547</v>
      </c>
      <c r="AD441" s="575">
        <f t="shared" si="121"/>
        <v>19147519.961538464</v>
      </c>
      <c r="AE441" s="596">
        <f t="shared" si="121"/>
        <v>19451992.448275864</v>
      </c>
      <c r="AF441" s="839"/>
      <c r="AG441" s="829"/>
      <c r="AH441" s="823"/>
      <c r="AI441" s="823"/>
      <c r="AJ441" s="823"/>
      <c r="AK441" s="807"/>
      <c r="AL441" s="807"/>
      <c r="AM441" s="807"/>
      <c r="AN441" s="807"/>
      <c r="AO441" s="807"/>
      <c r="AP441" s="807"/>
      <c r="AQ441" s="807"/>
      <c r="AR441" s="807"/>
      <c r="AS441" s="807"/>
      <c r="AT441" s="807"/>
      <c r="AU441" s="807"/>
      <c r="AV441" s="807"/>
      <c r="AW441" s="807"/>
      <c r="AX441" s="807"/>
      <c r="AY441" s="807"/>
    </row>
    <row r="442" spans="1:51" ht="19.149999999999999" customHeight="1" x14ac:dyDescent="0.25">
      <c r="A442" s="828"/>
      <c r="B442" s="822"/>
      <c r="C442" s="824" t="s">
        <v>540</v>
      </c>
      <c r="D442" s="572" t="s">
        <v>345</v>
      </c>
      <c r="E442" s="582"/>
      <c r="F442" s="582"/>
      <c r="G442" s="582"/>
      <c r="H442" s="582"/>
      <c r="I442" s="580"/>
      <c r="J442" s="580">
        <v>2</v>
      </c>
      <c r="K442" s="598">
        <v>3</v>
      </c>
      <c r="L442" s="580">
        <v>3</v>
      </c>
      <c r="M442" s="580">
        <v>3</v>
      </c>
      <c r="N442" s="592">
        <v>3</v>
      </c>
      <c r="O442" s="618">
        <v>4</v>
      </c>
      <c r="P442" s="580">
        <v>6</v>
      </c>
      <c r="Q442" s="620">
        <v>6</v>
      </c>
      <c r="R442" s="620">
        <v>6</v>
      </c>
      <c r="S442" s="620"/>
      <c r="T442" s="620"/>
      <c r="U442" s="580">
        <v>0</v>
      </c>
      <c r="V442" s="580">
        <v>0</v>
      </c>
      <c r="W442" s="580">
        <v>2</v>
      </c>
      <c r="X442" s="593">
        <v>3</v>
      </c>
      <c r="Y442" s="593">
        <v>3</v>
      </c>
      <c r="Z442" s="580">
        <f t="shared" si="121"/>
        <v>3</v>
      </c>
      <c r="AA442" s="580">
        <f t="shared" si="121"/>
        <v>3</v>
      </c>
      <c r="AB442" s="575">
        <f t="shared" si="121"/>
        <v>4</v>
      </c>
      <c r="AC442" s="575">
        <f t="shared" si="121"/>
        <v>6</v>
      </c>
      <c r="AD442" s="575">
        <f t="shared" si="121"/>
        <v>6</v>
      </c>
      <c r="AE442" s="620">
        <f t="shared" si="121"/>
        <v>6</v>
      </c>
      <c r="AF442" s="864" t="s">
        <v>776</v>
      </c>
      <c r="AG442" s="835" t="str">
        <f>+C442</f>
        <v>7- BOSA</v>
      </c>
      <c r="AH442" s="865" t="s">
        <v>777</v>
      </c>
      <c r="AI442" s="865" t="s">
        <v>778</v>
      </c>
      <c r="AJ442" s="824" t="s">
        <v>751</v>
      </c>
      <c r="AK442" s="826" t="s">
        <v>490</v>
      </c>
      <c r="AL442" s="826">
        <v>4</v>
      </c>
      <c r="AM442" s="826" t="s">
        <v>752</v>
      </c>
      <c r="AN442" s="861">
        <v>729785</v>
      </c>
      <c r="AO442" s="820">
        <v>351203</v>
      </c>
      <c r="AP442" s="820">
        <v>378578</v>
      </c>
      <c r="AQ442" s="833" t="s">
        <v>492</v>
      </c>
      <c r="AR442" s="833" t="s">
        <v>492</v>
      </c>
      <c r="AS442" s="833" t="s">
        <v>492</v>
      </c>
      <c r="AT442" s="833" t="s">
        <v>492</v>
      </c>
      <c r="AU442" s="833" t="s">
        <v>492</v>
      </c>
      <c r="AV442" s="833" t="s">
        <v>492</v>
      </c>
      <c r="AW442" s="833" t="s">
        <v>492</v>
      </c>
      <c r="AX442" s="861">
        <v>729785</v>
      </c>
      <c r="AY442" s="866" t="s">
        <v>779</v>
      </c>
    </row>
    <row r="443" spans="1:51" ht="19.149999999999999" customHeight="1" x14ac:dyDescent="0.25">
      <c r="A443" s="828"/>
      <c r="B443" s="822"/>
      <c r="C443" s="822"/>
      <c r="D443" s="578" t="s">
        <v>349</v>
      </c>
      <c r="E443" s="583"/>
      <c r="F443" s="583"/>
      <c r="G443" s="583"/>
      <c r="H443" s="583"/>
      <c r="I443" s="575"/>
      <c r="J443" s="580">
        <v>19555333.333333332</v>
      </c>
      <c r="K443" s="580">
        <v>19555333.333333332</v>
      </c>
      <c r="L443" s="580">
        <v>14666500</v>
      </c>
      <c r="M443" s="580">
        <f>+M442*$Z$395/$Z$394</f>
        <v>13538307.692307692</v>
      </c>
      <c r="N443" s="582">
        <f>+N442*$AA$395/$AA$394</f>
        <v>16060221.428571429</v>
      </c>
      <c r="O443" s="582">
        <f>+O442*$AB$395/$AB$394</f>
        <v>18102400</v>
      </c>
      <c r="P443" s="580">
        <f>+P442*$AC$395/$AC$394</f>
        <v>22216581.818181816</v>
      </c>
      <c r="Q443" s="580">
        <f>+Q442*$AD$395/$AD$394</f>
        <v>18798646.153846152</v>
      </c>
      <c r="R443" s="580">
        <f>+R442*$AE$395/$AE$394</f>
        <v>19164013.137931034</v>
      </c>
      <c r="S443" s="580"/>
      <c r="T443" s="615"/>
      <c r="U443" s="580">
        <v>0</v>
      </c>
      <c r="V443" s="580">
        <v>0</v>
      </c>
      <c r="W443" s="580">
        <v>19555333.333333332</v>
      </c>
      <c r="X443" s="593">
        <v>19555333.333333332</v>
      </c>
      <c r="Y443" s="593">
        <v>14666500</v>
      </c>
      <c r="Z443" s="580">
        <f t="shared" si="121"/>
        <v>13538307.692307692</v>
      </c>
      <c r="AA443" s="580">
        <f t="shared" si="121"/>
        <v>16060221.428571429</v>
      </c>
      <c r="AB443" s="575">
        <f t="shared" si="121"/>
        <v>18102400</v>
      </c>
      <c r="AC443" s="575">
        <f t="shared" si="121"/>
        <v>22216581.818181816</v>
      </c>
      <c r="AD443" s="575">
        <f t="shared" si="121"/>
        <v>18798646.153846152</v>
      </c>
      <c r="AE443" s="580">
        <f t="shared" si="121"/>
        <v>19164013.137931034</v>
      </c>
      <c r="AF443" s="838"/>
      <c r="AG443" s="828"/>
      <c r="AH443" s="822"/>
      <c r="AI443" s="822"/>
      <c r="AJ443" s="822"/>
      <c r="AK443" s="806"/>
      <c r="AL443" s="806"/>
      <c r="AM443" s="806"/>
      <c r="AN443" s="806"/>
      <c r="AO443" s="806"/>
      <c r="AP443" s="806"/>
      <c r="AQ443" s="806"/>
      <c r="AR443" s="806"/>
      <c r="AS443" s="806"/>
      <c r="AT443" s="806"/>
      <c r="AU443" s="806"/>
      <c r="AV443" s="806"/>
      <c r="AW443" s="806"/>
      <c r="AX443" s="806"/>
      <c r="AY443" s="806"/>
    </row>
    <row r="444" spans="1:51" ht="28.9" customHeight="1" x14ac:dyDescent="0.25">
      <c r="A444" s="828"/>
      <c r="B444" s="822"/>
      <c r="C444" s="822"/>
      <c r="D444" s="579" t="s">
        <v>351</v>
      </c>
      <c r="E444" s="583"/>
      <c r="F444" s="583"/>
      <c r="G444" s="583"/>
      <c r="H444" s="583"/>
      <c r="I444" s="575"/>
      <c r="J444" s="575"/>
      <c r="K444" s="619"/>
      <c r="L444" s="575"/>
      <c r="M444" s="575"/>
      <c r="N444" s="573"/>
      <c r="O444" s="613"/>
      <c r="P444" s="615"/>
      <c r="Q444" s="615"/>
      <c r="R444" s="615"/>
      <c r="S444" s="615"/>
      <c r="T444" s="615"/>
      <c r="U444" s="580">
        <v>0</v>
      </c>
      <c r="V444" s="580">
        <v>0</v>
      </c>
      <c r="W444" s="580">
        <v>0</v>
      </c>
      <c r="X444" s="593">
        <v>0</v>
      </c>
      <c r="Y444" s="593">
        <v>0</v>
      </c>
      <c r="Z444" s="580">
        <f t="shared" si="121"/>
        <v>0</v>
      </c>
      <c r="AA444" s="580">
        <f t="shared" si="121"/>
        <v>0</v>
      </c>
      <c r="AB444" s="575">
        <f t="shared" si="121"/>
        <v>0</v>
      </c>
      <c r="AC444" s="575">
        <f t="shared" si="121"/>
        <v>0</v>
      </c>
      <c r="AD444" s="575">
        <f t="shared" si="121"/>
        <v>0</v>
      </c>
      <c r="AE444" s="615">
        <f t="shared" si="121"/>
        <v>0</v>
      </c>
      <c r="AF444" s="838"/>
      <c r="AG444" s="828"/>
      <c r="AH444" s="822"/>
      <c r="AI444" s="822"/>
      <c r="AJ444" s="822"/>
      <c r="AK444" s="806"/>
      <c r="AL444" s="806"/>
      <c r="AM444" s="806"/>
      <c r="AN444" s="806"/>
      <c r="AO444" s="806"/>
      <c r="AP444" s="806"/>
      <c r="AQ444" s="806"/>
      <c r="AR444" s="806"/>
      <c r="AS444" s="806"/>
      <c r="AT444" s="806"/>
      <c r="AU444" s="806"/>
      <c r="AV444" s="806"/>
      <c r="AW444" s="806"/>
      <c r="AX444" s="806"/>
      <c r="AY444" s="806"/>
    </row>
    <row r="445" spans="1:51" ht="28.9" customHeight="1" x14ac:dyDescent="0.25">
      <c r="A445" s="828"/>
      <c r="B445" s="822"/>
      <c r="C445" s="822"/>
      <c r="D445" s="578" t="s">
        <v>352</v>
      </c>
      <c r="E445" s="583"/>
      <c r="F445" s="583"/>
      <c r="G445" s="583"/>
      <c r="H445" s="583"/>
      <c r="I445" s="575"/>
      <c r="J445" s="575"/>
      <c r="K445" s="575">
        <v>2901193.5</v>
      </c>
      <c r="L445" s="575">
        <v>2901193.5</v>
      </c>
      <c r="M445" s="575">
        <v>2917277.1428571427</v>
      </c>
      <c r="N445" s="583">
        <v>2917277.1428571427</v>
      </c>
      <c r="O445" s="583">
        <v>2917277.1428571427</v>
      </c>
      <c r="P445" s="615">
        <v>3481981.5</v>
      </c>
      <c r="Q445" s="615">
        <v>3481981.5</v>
      </c>
      <c r="R445" s="615">
        <v>3481981.5</v>
      </c>
      <c r="S445" s="615"/>
      <c r="T445" s="615"/>
      <c r="U445" s="580">
        <v>0</v>
      </c>
      <c r="V445" s="580">
        <v>0</v>
      </c>
      <c r="W445" s="580">
        <v>0</v>
      </c>
      <c r="X445" s="593">
        <v>2901193.5</v>
      </c>
      <c r="Y445" s="593">
        <v>2901193.5</v>
      </c>
      <c r="Z445" s="580">
        <f t="shared" si="121"/>
        <v>2917277.1428571427</v>
      </c>
      <c r="AA445" s="580">
        <f t="shared" si="121"/>
        <v>2917277.1428571427</v>
      </c>
      <c r="AB445" s="575">
        <f t="shared" si="121"/>
        <v>2917277.1428571427</v>
      </c>
      <c r="AC445" s="575">
        <f t="shared" si="121"/>
        <v>3481981.5</v>
      </c>
      <c r="AD445" s="575">
        <f t="shared" si="121"/>
        <v>3481981.5</v>
      </c>
      <c r="AE445" s="615">
        <f t="shared" si="121"/>
        <v>3481981.5</v>
      </c>
      <c r="AF445" s="838"/>
      <c r="AG445" s="828"/>
      <c r="AH445" s="822"/>
      <c r="AI445" s="822"/>
      <c r="AJ445" s="822"/>
      <c r="AK445" s="806"/>
      <c r="AL445" s="806"/>
      <c r="AM445" s="806"/>
      <c r="AN445" s="806"/>
      <c r="AO445" s="806"/>
      <c r="AP445" s="806"/>
      <c r="AQ445" s="806"/>
      <c r="AR445" s="806"/>
      <c r="AS445" s="806"/>
      <c r="AT445" s="806"/>
      <c r="AU445" s="806"/>
      <c r="AV445" s="806"/>
      <c r="AW445" s="806"/>
      <c r="AX445" s="806"/>
      <c r="AY445" s="806"/>
    </row>
    <row r="446" spans="1:51" ht="28.9" customHeight="1" x14ac:dyDescent="0.25">
      <c r="A446" s="828"/>
      <c r="B446" s="822"/>
      <c r="C446" s="822"/>
      <c r="D446" s="579" t="s">
        <v>353</v>
      </c>
      <c r="E446" s="582"/>
      <c r="F446" s="582"/>
      <c r="G446" s="582"/>
      <c r="H446" s="582"/>
      <c r="I446" s="580"/>
      <c r="J446" s="580">
        <v>2</v>
      </c>
      <c r="K446" s="598">
        <v>3</v>
      </c>
      <c r="L446" s="580">
        <v>3</v>
      </c>
      <c r="M446" s="580">
        <v>3</v>
      </c>
      <c r="N446" s="582">
        <v>3</v>
      </c>
      <c r="O446" s="618">
        <v>4</v>
      </c>
      <c r="P446" s="580">
        <v>6</v>
      </c>
      <c r="Q446" s="620">
        <v>6</v>
      </c>
      <c r="R446" s="620">
        <v>6</v>
      </c>
      <c r="S446" s="620"/>
      <c r="T446" s="620"/>
      <c r="U446" s="580">
        <v>0</v>
      </c>
      <c r="V446" s="580">
        <v>0</v>
      </c>
      <c r="W446" s="580">
        <v>2</v>
      </c>
      <c r="X446" s="593">
        <v>3</v>
      </c>
      <c r="Y446" s="593">
        <v>3</v>
      </c>
      <c r="Z446" s="580">
        <f t="shared" si="121"/>
        <v>3</v>
      </c>
      <c r="AA446" s="580">
        <f t="shared" si="121"/>
        <v>3</v>
      </c>
      <c r="AB446" s="575">
        <f t="shared" si="121"/>
        <v>4</v>
      </c>
      <c r="AC446" s="575">
        <f t="shared" si="121"/>
        <v>6</v>
      </c>
      <c r="AD446" s="575">
        <f t="shared" si="121"/>
        <v>6</v>
      </c>
      <c r="AE446" s="620">
        <f t="shared" si="121"/>
        <v>6</v>
      </c>
      <c r="AF446" s="838"/>
      <c r="AG446" s="828"/>
      <c r="AH446" s="822"/>
      <c r="AI446" s="822"/>
      <c r="AJ446" s="822"/>
      <c r="AK446" s="806"/>
      <c r="AL446" s="806"/>
      <c r="AM446" s="806"/>
      <c r="AN446" s="806"/>
      <c r="AO446" s="806"/>
      <c r="AP446" s="806"/>
      <c r="AQ446" s="806"/>
      <c r="AR446" s="806"/>
      <c r="AS446" s="806"/>
      <c r="AT446" s="806"/>
      <c r="AU446" s="806"/>
      <c r="AV446" s="806"/>
      <c r="AW446" s="806"/>
      <c r="AX446" s="806"/>
      <c r="AY446" s="806"/>
    </row>
    <row r="447" spans="1:51" ht="28.9" customHeight="1" x14ac:dyDescent="0.25">
      <c r="A447" s="828"/>
      <c r="B447" s="822"/>
      <c r="C447" s="823"/>
      <c r="D447" s="578" t="s">
        <v>354</v>
      </c>
      <c r="E447" s="597"/>
      <c r="F447" s="597"/>
      <c r="G447" s="597"/>
      <c r="H447" s="597"/>
      <c r="I447" s="575"/>
      <c r="J447" s="575">
        <v>19555333.333333332</v>
      </c>
      <c r="K447" s="575">
        <v>22456526.833333332</v>
      </c>
      <c r="L447" s="596">
        <v>17567693.5</v>
      </c>
      <c r="M447" s="596">
        <f t="shared" ref="M447:R447" si="123">+M443+M445</f>
        <v>16455584.835164834</v>
      </c>
      <c r="N447" s="597">
        <f t="shared" si="123"/>
        <v>18977498.571428571</v>
      </c>
      <c r="O447" s="597">
        <f t="shared" si="123"/>
        <v>21019677.142857142</v>
      </c>
      <c r="P447" s="596">
        <f t="shared" si="123"/>
        <v>25698563.318181816</v>
      </c>
      <c r="Q447" s="596">
        <f t="shared" si="123"/>
        <v>22280627.653846152</v>
      </c>
      <c r="R447" s="596">
        <f t="shared" si="123"/>
        <v>22645994.637931034</v>
      </c>
      <c r="S447" s="596"/>
      <c r="T447" s="620"/>
      <c r="U447" s="580">
        <v>0</v>
      </c>
      <c r="V447" s="580">
        <v>0</v>
      </c>
      <c r="W447" s="580">
        <v>19555333.333333332</v>
      </c>
      <c r="X447" s="593">
        <v>22456526.833333332</v>
      </c>
      <c r="Y447" s="593">
        <v>17567693.5</v>
      </c>
      <c r="Z447" s="580">
        <f t="shared" si="121"/>
        <v>16455584.835164834</v>
      </c>
      <c r="AA447" s="580">
        <f t="shared" si="121"/>
        <v>18977498.571428571</v>
      </c>
      <c r="AB447" s="575">
        <f t="shared" si="121"/>
        <v>21019677.142857142</v>
      </c>
      <c r="AC447" s="575">
        <f t="shared" si="121"/>
        <v>25698563.318181816</v>
      </c>
      <c r="AD447" s="575">
        <f t="shared" si="121"/>
        <v>22280627.653846152</v>
      </c>
      <c r="AE447" s="596">
        <f t="shared" si="121"/>
        <v>22645994.637931034</v>
      </c>
      <c r="AF447" s="839"/>
      <c r="AG447" s="829"/>
      <c r="AH447" s="823"/>
      <c r="AI447" s="823"/>
      <c r="AJ447" s="823"/>
      <c r="AK447" s="807"/>
      <c r="AL447" s="807"/>
      <c r="AM447" s="807"/>
      <c r="AN447" s="807"/>
      <c r="AO447" s="807"/>
      <c r="AP447" s="807"/>
      <c r="AQ447" s="807"/>
      <c r="AR447" s="807"/>
      <c r="AS447" s="807"/>
      <c r="AT447" s="807"/>
      <c r="AU447" s="807"/>
      <c r="AV447" s="807"/>
      <c r="AW447" s="807"/>
      <c r="AX447" s="807"/>
      <c r="AY447" s="807"/>
    </row>
    <row r="448" spans="1:51" ht="19.149999999999999" customHeight="1" x14ac:dyDescent="0.25">
      <c r="A448" s="828"/>
      <c r="B448" s="822"/>
      <c r="C448" s="837" t="s">
        <v>630</v>
      </c>
      <c r="D448" s="572" t="s">
        <v>345</v>
      </c>
      <c r="E448" s="582"/>
      <c r="F448" s="582"/>
      <c r="G448" s="582"/>
      <c r="H448" s="582"/>
      <c r="I448" s="580">
        <v>1</v>
      </c>
      <c r="J448" s="580">
        <v>1</v>
      </c>
      <c r="K448" s="598">
        <v>2</v>
      </c>
      <c r="L448" s="580">
        <v>4</v>
      </c>
      <c r="M448" s="580">
        <v>4</v>
      </c>
      <c r="N448" s="592">
        <v>6</v>
      </c>
      <c r="O448" s="618">
        <v>8</v>
      </c>
      <c r="P448" s="580">
        <v>13</v>
      </c>
      <c r="Q448" s="620">
        <v>15</v>
      </c>
      <c r="R448" s="620">
        <v>16</v>
      </c>
      <c r="S448" s="620"/>
      <c r="T448" s="620"/>
      <c r="U448" s="580">
        <v>0</v>
      </c>
      <c r="V448" s="580">
        <v>1</v>
      </c>
      <c r="W448" s="580">
        <v>1</v>
      </c>
      <c r="X448" s="593">
        <v>2</v>
      </c>
      <c r="Y448" s="593">
        <v>4</v>
      </c>
      <c r="Z448" s="580">
        <f t="shared" ref="Z448:AE463" si="124">+M448</f>
        <v>4</v>
      </c>
      <c r="AA448" s="580">
        <f t="shared" si="124"/>
        <v>6</v>
      </c>
      <c r="AB448" s="575">
        <f t="shared" si="124"/>
        <v>8</v>
      </c>
      <c r="AC448" s="575">
        <f t="shared" si="124"/>
        <v>13</v>
      </c>
      <c r="AD448" s="575">
        <f t="shared" si="124"/>
        <v>15</v>
      </c>
      <c r="AE448" s="620">
        <f t="shared" si="124"/>
        <v>16</v>
      </c>
      <c r="AF448" s="864" t="s">
        <v>780</v>
      </c>
      <c r="AG448" s="835" t="str">
        <f>+C448</f>
        <v>8- KENNEDY</v>
      </c>
      <c r="AH448" s="865" t="s">
        <v>781</v>
      </c>
      <c r="AI448" s="865" t="s">
        <v>782</v>
      </c>
      <c r="AJ448" s="824" t="s">
        <v>751</v>
      </c>
      <c r="AK448" s="826" t="s">
        <v>490</v>
      </c>
      <c r="AL448" s="826" t="s">
        <v>765</v>
      </c>
      <c r="AM448" s="826" t="s">
        <v>752</v>
      </c>
      <c r="AN448" s="861">
        <v>1035224</v>
      </c>
      <c r="AO448" s="820">
        <v>501861</v>
      </c>
      <c r="AP448" s="820">
        <v>533363</v>
      </c>
      <c r="AQ448" s="833" t="s">
        <v>492</v>
      </c>
      <c r="AR448" s="833" t="s">
        <v>492</v>
      </c>
      <c r="AS448" s="833" t="s">
        <v>492</v>
      </c>
      <c r="AT448" s="833" t="s">
        <v>492</v>
      </c>
      <c r="AU448" s="833" t="s">
        <v>492</v>
      </c>
      <c r="AV448" s="833" t="s">
        <v>492</v>
      </c>
      <c r="AW448" s="833" t="s">
        <v>492</v>
      </c>
      <c r="AX448" s="861">
        <v>1035224</v>
      </c>
      <c r="AY448" s="862" t="s">
        <v>783</v>
      </c>
    </row>
    <row r="449" spans="1:51" ht="19.149999999999999" customHeight="1" x14ac:dyDescent="0.25">
      <c r="A449" s="828"/>
      <c r="B449" s="822"/>
      <c r="C449" s="838"/>
      <c r="D449" s="578" t="s">
        <v>349</v>
      </c>
      <c r="E449" s="583"/>
      <c r="F449" s="583"/>
      <c r="G449" s="583"/>
      <c r="H449" s="583"/>
      <c r="I449" s="580">
        <v>19555333.333333332</v>
      </c>
      <c r="J449" s="580">
        <v>9777666.666666666</v>
      </c>
      <c r="K449" s="580">
        <v>13036888.888888888</v>
      </c>
      <c r="L449" s="580">
        <v>19555333.333333332</v>
      </c>
      <c r="M449" s="580">
        <f>+M448*$Z$395/$Z$394</f>
        <v>18051076.923076924</v>
      </c>
      <c r="N449" s="582">
        <f>+N448*$AA$395/$AA$394</f>
        <v>32120442.857142858</v>
      </c>
      <c r="O449" s="582">
        <f>+O448*$AB$395/$AB$394</f>
        <v>36204800</v>
      </c>
      <c r="P449" s="580">
        <f>+P448*$AC$395/$AC$394</f>
        <v>48135927.272727273</v>
      </c>
      <c r="Q449" s="580">
        <f>+Q448*$AD$395/$AD$394</f>
        <v>46996615.384615384</v>
      </c>
      <c r="R449" s="580">
        <f>+R448*$AE$395/$AE$394</f>
        <v>51104035.034482762</v>
      </c>
      <c r="S449" s="580"/>
      <c r="T449" s="615"/>
      <c r="U449" s="580">
        <v>0</v>
      </c>
      <c r="V449" s="580">
        <v>19555333.333333332</v>
      </c>
      <c r="W449" s="580">
        <v>9777666.666666666</v>
      </c>
      <c r="X449" s="593">
        <v>13036888.888888888</v>
      </c>
      <c r="Y449" s="593">
        <v>19555333.333333332</v>
      </c>
      <c r="Z449" s="580">
        <f t="shared" si="124"/>
        <v>18051076.923076924</v>
      </c>
      <c r="AA449" s="580">
        <f t="shared" si="124"/>
        <v>32120442.857142858</v>
      </c>
      <c r="AB449" s="575">
        <f t="shared" si="124"/>
        <v>36204800</v>
      </c>
      <c r="AC449" s="575">
        <f t="shared" si="124"/>
        <v>48135927.272727273</v>
      </c>
      <c r="AD449" s="575">
        <f t="shared" si="124"/>
        <v>46996615.384615384</v>
      </c>
      <c r="AE449" s="580">
        <f t="shared" si="124"/>
        <v>51104035.034482762</v>
      </c>
      <c r="AF449" s="838"/>
      <c r="AG449" s="828"/>
      <c r="AH449" s="822"/>
      <c r="AI449" s="822"/>
      <c r="AJ449" s="822"/>
      <c r="AK449" s="806"/>
      <c r="AL449" s="806"/>
      <c r="AM449" s="806"/>
      <c r="AN449" s="806"/>
      <c r="AO449" s="806"/>
      <c r="AP449" s="806"/>
      <c r="AQ449" s="806"/>
      <c r="AR449" s="806"/>
      <c r="AS449" s="806"/>
      <c r="AT449" s="806"/>
      <c r="AU449" s="806"/>
      <c r="AV449" s="806"/>
      <c r="AW449" s="806"/>
      <c r="AX449" s="806"/>
      <c r="AY449" s="806"/>
    </row>
    <row r="450" spans="1:51" ht="28.9" customHeight="1" x14ac:dyDescent="0.25">
      <c r="A450" s="828"/>
      <c r="B450" s="822"/>
      <c r="C450" s="838"/>
      <c r="D450" s="579" t="s">
        <v>351</v>
      </c>
      <c r="E450" s="583"/>
      <c r="F450" s="583"/>
      <c r="G450" s="583"/>
      <c r="H450" s="583"/>
      <c r="I450" s="575"/>
      <c r="J450" s="575"/>
      <c r="K450" s="619"/>
      <c r="L450" s="575"/>
      <c r="M450" s="575"/>
      <c r="N450" s="573"/>
      <c r="O450" s="613"/>
      <c r="P450" s="615"/>
      <c r="Q450" s="615"/>
      <c r="R450" s="615"/>
      <c r="S450" s="615"/>
      <c r="T450" s="615"/>
      <c r="U450" s="580">
        <v>0</v>
      </c>
      <c r="V450" s="580">
        <v>0</v>
      </c>
      <c r="W450" s="580">
        <v>0</v>
      </c>
      <c r="X450" s="593">
        <v>0</v>
      </c>
      <c r="Y450" s="593">
        <v>0</v>
      </c>
      <c r="Z450" s="580">
        <f t="shared" si="124"/>
        <v>0</v>
      </c>
      <c r="AA450" s="580">
        <f t="shared" si="124"/>
        <v>0</v>
      </c>
      <c r="AB450" s="575">
        <f t="shared" si="124"/>
        <v>0</v>
      </c>
      <c r="AC450" s="575">
        <f t="shared" si="124"/>
        <v>0</v>
      </c>
      <c r="AD450" s="575">
        <f t="shared" si="124"/>
        <v>0</v>
      </c>
      <c r="AE450" s="615">
        <f t="shared" si="124"/>
        <v>0</v>
      </c>
      <c r="AF450" s="838"/>
      <c r="AG450" s="828"/>
      <c r="AH450" s="822"/>
      <c r="AI450" s="822"/>
      <c r="AJ450" s="822"/>
      <c r="AK450" s="806"/>
      <c r="AL450" s="806"/>
      <c r="AM450" s="806"/>
      <c r="AN450" s="806"/>
      <c r="AO450" s="806"/>
      <c r="AP450" s="806"/>
      <c r="AQ450" s="806"/>
      <c r="AR450" s="806"/>
      <c r="AS450" s="806"/>
      <c r="AT450" s="806"/>
      <c r="AU450" s="806"/>
      <c r="AV450" s="806"/>
      <c r="AW450" s="806"/>
      <c r="AX450" s="806"/>
      <c r="AY450" s="806"/>
    </row>
    <row r="451" spans="1:51" ht="28.9" customHeight="1" x14ac:dyDescent="0.25">
      <c r="A451" s="828"/>
      <c r="B451" s="822"/>
      <c r="C451" s="838"/>
      <c r="D451" s="578" t="s">
        <v>352</v>
      </c>
      <c r="E451" s="583"/>
      <c r="F451" s="583"/>
      <c r="G451" s="583"/>
      <c r="H451" s="583"/>
      <c r="I451" s="575">
        <v>5506490.2857142854</v>
      </c>
      <c r="J451" s="575">
        <v>5506490.2857142854</v>
      </c>
      <c r="K451" s="575">
        <v>2901193.5</v>
      </c>
      <c r="L451" s="575">
        <v>2901193.5</v>
      </c>
      <c r="M451" s="575">
        <v>2917277.1428571427</v>
      </c>
      <c r="N451" s="583">
        <v>2917277.1428571427</v>
      </c>
      <c r="O451" s="583">
        <v>2917277.1428571427</v>
      </c>
      <c r="P451" s="615">
        <v>3481981.5</v>
      </c>
      <c r="Q451" s="615">
        <v>3481981.5</v>
      </c>
      <c r="R451" s="615">
        <v>3481981.5</v>
      </c>
      <c r="S451" s="615"/>
      <c r="T451" s="615"/>
      <c r="U451" s="580">
        <v>0</v>
      </c>
      <c r="V451" s="580">
        <v>5506490.2857142854</v>
      </c>
      <c r="W451" s="580">
        <v>5506490.2857142854</v>
      </c>
      <c r="X451" s="593">
        <v>2901193.5</v>
      </c>
      <c r="Y451" s="593">
        <v>2901193.5</v>
      </c>
      <c r="Z451" s="580">
        <f t="shared" si="124"/>
        <v>2917277.1428571427</v>
      </c>
      <c r="AA451" s="580">
        <f t="shared" si="124"/>
        <v>2917277.1428571427</v>
      </c>
      <c r="AB451" s="575">
        <f t="shared" si="124"/>
        <v>2917277.1428571427</v>
      </c>
      <c r="AC451" s="575">
        <f t="shared" si="124"/>
        <v>3481981.5</v>
      </c>
      <c r="AD451" s="575">
        <f t="shared" si="124"/>
        <v>3481981.5</v>
      </c>
      <c r="AE451" s="615">
        <f t="shared" si="124"/>
        <v>3481981.5</v>
      </c>
      <c r="AF451" s="838"/>
      <c r="AG451" s="828"/>
      <c r="AH451" s="822"/>
      <c r="AI451" s="822"/>
      <c r="AJ451" s="822"/>
      <c r="AK451" s="806"/>
      <c r="AL451" s="806"/>
      <c r="AM451" s="806"/>
      <c r="AN451" s="806"/>
      <c r="AO451" s="806"/>
      <c r="AP451" s="806"/>
      <c r="AQ451" s="806"/>
      <c r="AR451" s="806"/>
      <c r="AS451" s="806"/>
      <c r="AT451" s="806"/>
      <c r="AU451" s="806"/>
      <c r="AV451" s="806"/>
      <c r="AW451" s="806"/>
      <c r="AX451" s="806"/>
      <c r="AY451" s="806"/>
    </row>
    <row r="452" spans="1:51" ht="28.9" customHeight="1" x14ac:dyDescent="0.25">
      <c r="A452" s="828"/>
      <c r="B452" s="822"/>
      <c r="C452" s="838"/>
      <c r="D452" s="579" t="s">
        <v>353</v>
      </c>
      <c r="E452" s="582"/>
      <c r="F452" s="582"/>
      <c r="G452" s="582"/>
      <c r="H452" s="582"/>
      <c r="I452" s="580">
        <v>1</v>
      </c>
      <c r="J452" s="580">
        <v>1</v>
      </c>
      <c r="K452" s="598">
        <v>2</v>
      </c>
      <c r="L452" s="580">
        <v>4</v>
      </c>
      <c r="M452" s="580">
        <v>4</v>
      </c>
      <c r="N452" s="582">
        <v>6</v>
      </c>
      <c r="O452" s="618">
        <v>8</v>
      </c>
      <c r="P452" s="580">
        <v>13</v>
      </c>
      <c r="Q452" s="620">
        <v>15</v>
      </c>
      <c r="R452" s="620">
        <v>16</v>
      </c>
      <c r="S452" s="620"/>
      <c r="T452" s="620"/>
      <c r="U452" s="580">
        <v>0</v>
      </c>
      <c r="V452" s="580">
        <v>1</v>
      </c>
      <c r="W452" s="580">
        <v>1</v>
      </c>
      <c r="X452" s="593">
        <v>2</v>
      </c>
      <c r="Y452" s="593">
        <v>4</v>
      </c>
      <c r="Z452" s="580">
        <f t="shared" si="124"/>
        <v>4</v>
      </c>
      <c r="AA452" s="580">
        <f t="shared" si="124"/>
        <v>6</v>
      </c>
      <c r="AB452" s="575">
        <f t="shared" si="124"/>
        <v>8</v>
      </c>
      <c r="AC452" s="575">
        <f t="shared" si="124"/>
        <v>13</v>
      </c>
      <c r="AD452" s="575">
        <f t="shared" si="124"/>
        <v>15</v>
      </c>
      <c r="AE452" s="620">
        <f t="shared" si="124"/>
        <v>16</v>
      </c>
      <c r="AF452" s="838"/>
      <c r="AG452" s="828"/>
      <c r="AH452" s="822"/>
      <c r="AI452" s="822"/>
      <c r="AJ452" s="822"/>
      <c r="AK452" s="806"/>
      <c r="AL452" s="806"/>
      <c r="AM452" s="806"/>
      <c r="AN452" s="806"/>
      <c r="AO452" s="806"/>
      <c r="AP452" s="806"/>
      <c r="AQ452" s="806"/>
      <c r="AR452" s="806"/>
      <c r="AS452" s="806"/>
      <c r="AT452" s="806"/>
      <c r="AU452" s="806"/>
      <c r="AV452" s="806"/>
      <c r="AW452" s="806"/>
      <c r="AX452" s="806"/>
      <c r="AY452" s="806"/>
    </row>
    <row r="453" spans="1:51" ht="28.9" customHeight="1" x14ac:dyDescent="0.25">
      <c r="A453" s="828"/>
      <c r="B453" s="822"/>
      <c r="C453" s="839"/>
      <c r="D453" s="578" t="s">
        <v>354</v>
      </c>
      <c r="E453" s="597"/>
      <c r="F453" s="597"/>
      <c r="G453" s="583"/>
      <c r="H453" s="583"/>
      <c r="I453" s="575">
        <v>25061823.619047619</v>
      </c>
      <c r="J453" s="575">
        <v>15284156.952380951</v>
      </c>
      <c r="K453" s="575">
        <v>15938082.388888888</v>
      </c>
      <c r="L453" s="596">
        <v>22456526.833333332</v>
      </c>
      <c r="M453" s="596">
        <f t="shared" ref="M453:R453" si="125">+M449+M451</f>
        <v>20968354.065934066</v>
      </c>
      <c r="N453" s="597">
        <f t="shared" si="125"/>
        <v>35037720</v>
      </c>
      <c r="O453" s="597">
        <f t="shared" si="125"/>
        <v>39122077.142857142</v>
      </c>
      <c r="P453" s="596">
        <f t="shared" si="125"/>
        <v>51617908.772727273</v>
      </c>
      <c r="Q453" s="596">
        <f t="shared" si="125"/>
        <v>50478596.884615384</v>
      </c>
      <c r="R453" s="596">
        <f t="shared" si="125"/>
        <v>54586016.534482762</v>
      </c>
      <c r="S453" s="596"/>
      <c r="T453" s="620"/>
      <c r="U453" s="580">
        <v>0</v>
      </c>
      <c r="V453" s="580">
        <v>25061823.619047619</v>
      </c>
      <c r="W453" s="580">
        <v>15284156.952380951</v>
      </c>
      <c r="X453" s="593">
        <v>15938082.388888888</v>
      </c>
      <c r="Y453" s="593">
        <v>22456526.833333332</v>
      </c>
      <c r="Z453" s="580">
        <f t="shared" si="124"/>
        <v>20968354.065934066</v>
      </c>
      <c r="AA453" s="580">
        <f t="shared" si="124"/>
        <v>35037720</v>
      </c>
      <c r="AB453" s="575">
        <f t="shared" si="124"/>
        <v>39122077.142857142</v>
      </c>
      <c r="AC453" s="575">
        <f t="shared" si="124"/>
        <v>51617908.772727273</v>
      </c>
      <c r="AD453" s="575">
        <f t="shared" si="124"/>
        <v>50478596.884615384</v>
      </c>
      <c r="AE453" s="596">
        <f t="shared" si="124"/>
        <v>54586016.534482762</v>
      </c>
      <c r="AF453" s="839"/>
      <c r="AG453" s="829"/>
      <c r="AH453" s="823"/>
      <c r="AI453" s="823"/>
      <c r="AJ453" s="823"/>
      <c r="AK453" s="807"/>
      <c r="AL453" s="807"/>
      <c r="AM453" s="807"/>
      <c r="AN453" s="807"/>
      <c r="AO453" s="807"/>
      <c r="AP453" s="807"/>
      <c r="AQ453" s="807"/>
      <c r="AR453" s="807"/>
      <c r="AS453" s="807"/>
      <c r="AT453" s="807"/>
      <c r="AU453" s="807"/>
      <c r="AV453" s="807"/>
      <c r="AW453" s="807"/>
      <c r="AX453" s="807"/>
      <c r="AY453" s="807"/>
    </row>
    <row r="454" spans="1:51" ht="19.149999999999999" customHeight="1" x14ac:dyDescent="0.25">
      <c r="A454" s="828"/>
      <c r="B454" s="822"/>
      <c r="C454" s="824" t="s">
        <v>784</v>
      </c>
      <c r="D454" s="572" t="s">
        <v>345</v>
      </c>
      <c r="E454" s="582"/>
      <c r="F454" s="582"/>
      <c r="G454" s="582"/>
      <c r="H454" s="582">
        <v>1</v>
      </c>
      <c r="I454" s="580">
        <v>5</v>
      </c>
      <c r="J454" s="580">
        <v>8</v>
      </c>
      <c r="K454" s="598">
        <v>12</v>
      </c>
      <c r="L454" s="580">
        <v>15</v>
      </c>
      <c r="M454" s="580">
        <v>16</v>
      </c>
      <c r="N454" s="592">
        <v>16</v>
      </c>
      <c r="O454" s="618">
        <v>25</v>
      </c>
      <c r="P454" s="580">
        <v>36</v>
      </c>
      <c r="Q454" s="620">
        <v>43</v>
      </c>
      <c r="R454" s="620">
        <v>50</v>
      </c>
      <c r="S454" s="620"/>
      <c r="T454" s="620"/>
      <c r="U454" s="580">
        <v>1</v>
      </c>
      <c r="V454" s="580">
        <v>5</v>
      </c>
      <c r="W454" s="580">
        <v>8</v>
      </c>
      <c r="X454" s="593">
        <v>12</v>
      </c>
      <c r="Y454" s="593">
        <v>15</v>
      </c>
      <c r="Z454" s="580">
        <f t="shared" si="124"/>
        <v>16</v>
      </c>
      <c r="AA454" s="580">
        <f t="shared" si="124"/>
        <v>16</v>
      </c>
      <c r="AB454" s="575">
        <f t="shared" si="124"/>
        <v>25</v>
      </c>
      <c r="AC454" s="575">
        <f t="shared" si="124"/>
        <v>36</v>
      </c>
      <c r="AD454" s="575">
        <f t="shared" si="124"/>
        <v>43</v>
      </c>
      <c r="AE454" s="620">
        <f t="shared" si="124"/>
        <v>50</v>
      </c>
      <c r="AF454" s="864" t="s">
        <v>785</v>
      </c>
      <c r="AG454" s="835" t="s">
        <v>784</v>
      </c>
      <c r="AH454" s="865" t="s">
        <v>786</v>
      </c>
      <c r="AI454" s="865" t="s">
        <v>787</v>
      </c>
      <c r="AJ454" s="824" t="s">
        <v>751</v>
      </c>
      <c r="AK454" s="826" t="s">
        <v>490</v>
      </c>
      <c r="AL454" s="826" t="s">
        <v>765</v>
      </c>
      <c r="AM454" s="826" t="s">
        <v>752</v>
      </c>
      <c r="AN454" s="861">
        <v>404252</v>
      </c>
      <c r="AO454" s="820">
        <v>188605</v>
      </c>
      <c r="AP454" s="820">
        <v>215647</v>
      </c>
      <c r="AQ454" s="833" t="s">
        <v>492</v>
      </c>
      <c r="AR454" s="833" t="s">
        <v>492</v>
      </c>
      <c r="AS454" s="833" t="s">
        <v>492</v>
      </c>
      <c r="AT454" s="833" t="s">
        <v>492</v>
      </c>
      <c r="AU454" s="833" t="s">
        <v>492</v>
      </c>
      <c r="AV454" s="833" t="s">
        <v>492</v>
      </c>
      <c r="AW454" s="833" t="s">
        <v>492</v>
      </c>
      <c r="AX454" s="861">
        <v>404252</v>
      </c>
      <c r="AY454" s="862" t="s">
        <v>788</v>
      </c>
    </row>
    <row r="455" spans="1:51" ht="19.149999999999999" customHeight="1" x14ac:dyDescent="0.25">
      <c r="A455" s="828"/>
      <c r="B455" s="822"/>
      <c r="C455" s="822"/>
      <c r="D455" s="578" t="s">
        <v>349</v>
      </c>
      <c r="E455" s="583"/>
      <c r="F455" s="583"/>
      <c r="G455" s="583"/>
      <c r="H455" s="582">
        <v>58666000</v>
      </c>
      <c r="I455" s="580">
        <v>97776666.666666672</v>
      </c>
      <c r="J455" s="580">
        <v>78221333.333333328</v>
      </c>
      <c r="K455" s="580">
        <v>78221333.333333328</v>
      </c>
      <c r="L455" s="580">
        <v>73332500</v>
      </c>
      <c r="M455" s="580">
        <f>+M454*$Z$395/$Z$394</f>
        <v>72204307.692307696</v>
      </c>
      <c r="N455" s="582">
        <f>+N454*$AA$395/$AA$394</f>
        <v>85654514.285714284</v>
      </c>
      <c r="O455" s="582">
        <f>+O454*$AB$395/$AB$394</f>
        <v>113140000</v>
      </c>
      <c r="P455" s="580">
        <f>+P454*$AC$395/$AC$394</f>
        <v>133299490.90909091</v>
      </c>
      <c r="Q455" s="580">
        <f>+Q454*$AD$395/$AD$394</f>
        <v>134723630.76923078</v>
      </c>
      <c r="R455" s="580">
        <f>+R454*$AE$395/$AE$394</f>
        <v>159700109.48275861</v>
      </c>
      <c r="S455" s="580"/>
      <c r="T455" s="615"/>
      <c r="U455" s="580">
        <v>58666000</v>
      </c>
      <c r="V455" s="580">
        <v>97776666.666666672</v>
      </c>
      <c r="W455" s="580">
        <v>78221333.333333328</v>
      </c>
      <c r="X455" s="593">
        <v>78221333.333333328</v>
      </c>
      <c r="Y455" s="593">
        <v>73332500</v>
      </c>
      <c r="Z455" s="580">
        <f t="shared" si="124"/>
        <v>72204307.692307696</v>
      </c>
      <c r="AA455" s="580">
        <f t="shared" si="124"/>
        <v>85654514.285714284</v>
      </c>
      <c r="AB455" s="575">
        <f t="shared" si="124"/>
        <v>113140000</v>
      </c>
      <c r="AC455" s="575">
        <f t="shared" si="124"/>
        <v>133299490.90909091</v>
      </c>
      <c r="AD455" s="575">
        <f t="shared" si="124"/>
        <v>134723630.76923078</v>
      </c>
      <c r="AE455" s="580">
        <f t="shared" si="124"/>
        <v>159700109.48275861</v>
      </c>
      <c r="AF455" s="838"/>
      <c r="AG455" s="828"/>
      <c r="AH455" s="822"/>
      <c r="AI455" s="822"/>
      <c r="AJ455" s="822"/>
      <c r="AK455" s="806"/>
      <c r="AL455" s="806"/>
      <c r="AM455" s="806"/>
      <c r="AN455" s="806"/>
      <c r="AO455" s="806"/>
      <c r="AP455" s="806"/>
      <c r="AQ455" s="806"/>
      <c r="AR455" s="806"/>
      <c r="AS455" s="806"/>
      <c r="AT455" s="806"/>
      <c r="AU455" s="806"/>
      <c r="AV455" s="806"/>
      <c r="AW455" s="806"/>
      <c r="AX455" s="806"/>
      <c r="AY455" s="806"/>
    </row>
    <row r="456" spans="1:51" ht="28.9" customHeight="1" x14ac:dyDescent="0.25">
      <c r="A456" s="828"/>
      <c r="B456" s="822"/>
      <c r="C456" s="822"/>
      <c r="D456" s="579" t="s">
        <v>351</v>
      </c>
      <c r="E456" s="583"/>
      <c r="F456" s="583"/>
      <c r="G456" s="583"/>
      <c r="H456" s="583"/>
      <c r="I456" s="575"/>
      <c r="J456" s="575"/>
      <c r="K456" s="619"/>
      <c r="L456" s="575"/>
      <c r="M456" s="575"/>
      <c r="N456" s="573"/>
      <c r="O456" s="613"/>
      <c r="P456" s="620"/>
      <c r="Q456" s="615"/>
      <c r="R456" s="615"/>
      <c r="S456" s="615"/>
      <c r="T456" s="615"/>
      <c r="U456" s="580">
        <v>0</v>
      </c>
      <c r="V456" s="580">
        <v>0</v>
      </c>
      <c r="W456" s="580">
        <v>0</v>
      </c>
      <c r="X456" s="593">
        <v>0</v>
      </c>
      <c r="Y456" s="593">
        <v>0</v>
      </c>
      <c r="Z456" s="580">
        <f t="shared" si="124"/>
        <v>0</v>
      </c>
      <c r="AA456" s="580">
        <f t="shared" si="124"/>
        <v>0</v>
      </c>
      <c r="AB456" s="575">
        <f t="shared" si="124"/>
        <v>0</v>
      </c>
      <c r="AC456" s="575">
        <f t="shared" si="124"/>
        <v>0</v>
      </c>
      <c r="AD456" s="575">
        <f t="shared" si="124"/>
        <v>0</v>
      </c>
      <c r="AE456" s="615">
        <f t="shared" si="124"/>
        <v>0</v>
      </c>
      <c r="AF456" s="838"/>
      <c r="AG456" s="828"/>
      <c r="AH456" s="822"/>
      <c r="AI456" s="822"/>
      <c r="AJ456" s="822"/>
      <c r="AK456" s="806"/>
      <c r="AL456" s="806"/>
      <c r="AM456" s="806"/>
      <c r="AN456" s="806"/>
      <c r="AO456" s="806"/>
      <c r="AP456" s="806"/>
      <c r="AQ456" s="806"/>
      <c r="AR456" s="806"/>
      <c r="AS456" s="806"/>
      <c r="AT456" s="806"/>
      <c r="AU456" s="806"/>
      <c r="AV456" s="806"/>
      <c r="AW456" s="806"/>
      <c r="AX456" s="806"/>
      <c r="AY456" s="806"/>
    </row>
    <row r="457" spans="1:51" ht="28.9" customHeight="1" x14ac:dyDescent="0.25">
      <c r="A457" s="828"/>
      <c r="B457" s="822"/>
      <c r="C457" s="822"/>
      <c r="D457" s="578" t="s">
        <v>352</v>
      </c>
      <c r="E457" s="583"/>
      <c r="F457" s="583"/>
      <c r="G457" s="583"/>
      <c r="H457" s="583">
        <v>9636358</v>
      </c>
      <c r="I457" s="575">
        <v>5506490.2857142854</v>
      </c>
      <c r="J457" s="575">
        <v>5506490.2857142854</v>
      </c>
      <c r="K457" s="575">
        <v>2901193.5</v>
      </c>
      <c r="L457" s="575">
        <v>2901193.5</v>
      </c>
      <c r="M457" s="575">
        <v>2917277.1428571427</v>
      </c>
      <c r="N457" s="583">
        <v>2917277.1428571427</v>
      </c>
      <c r="O457" s="583">
        <v>2917277.1428571427</v>
      </c>
      <c r="P457" s="615">
        <v>3481981.5</v>
      </c>
      <c r="Q457" s="615">
        <v>3481981.5</v>
      </c>
      <c r="R457" s="615">
        <v>3481981.5</v>
      </c>
      <c r="S457" s="615"/>
      <c r="T457" s="615"/>
      <c r="U457" s="580">
        <v>9636358</v>
      </c>
      <c r="V457" s="580">
        <v>5506490.2857142854</v>
      </c>
      <c r="W457" s="580">
        <v>5506490.2857142854</v>
      </c>
      <c r="X457" s="593">
        <v>2901193.5</v>
      </c>
      <c r="Y457" s="593">
        <v>2901193.5</v>
      </c>
      <c r="Z457" s="580">
        <f t="shared" si="124"/>
        <v>2917277.1428571427</v>
      </c>
      <c r="AA457" s="580">
        <f t="shared" si="124"/>
        <v>2917277.1428571427</v>
      </c>
      <c r="AB457" s="575">
        <f t="shared" si="124"/>
        <v>2917277.1428571427</v>
      </c>
      <c r="AC457" s="575">
        <f t="shared" si="124"/>
        <v>3481981.5</v>
      </c>
      <c r="AD457" s="575">
        <f t="shared" si="124"/>
        <v>3481981.5</v>
      </c>
      <c r="AE457" s="615">
        <f t="shared" si="124"/>
        <v>3481981.5</v>
      </c>
      <c r="AF457" s="838"/>
      <c r="AG457" s="828"/>
      <c r="AH457" s="822"/>
      <c r="AI457" s="822"/>
      <c r="AJ457" s="822"/>
      <c r="AK457" s="806"/>
      <c r="AL457" s="806"/>
      <c r="AM457" s="806"/>
      <c r="AN457" s="806"/>
      <c r="AO457" s="806"/>
      <c r="AP457" s="806"/>
      <c r="AQ457" s="806"/>
      <c r="AR457" s="806"/>
      <c r="AS457" s="806"/>
      <c r="AT457" s="806"/>
      <c r="AU457" s="806"/>
      <c r="AV457" s="806"/>
      <c r="AW457" s="806"/>
      <c r="AX457" s="806"/>
      <c r="AY457" s="806"/>
    </row>
    <row r="458" spans="1:51" ht="28.9" customHeight="1" x14ac:dyDescent="0.25">
      <c r="A458" s="828"/>
      <c r="B458" s="822"/>
      <c r="C458" s="822"/>
      <c r="D458" s="579" t="s">
        <v>353</v>
      </c>
      <c r="E458" s="582"/>
      <c r="F458" s="582"/>
      <c r="G458" s="582"/>
      <c r="H458" s="582">
        <v>1</v>
      </c>
      <c r="I458" s="580">
        <v>5</v>
      </c>
      <c r="J458" s="580">
        <v>8</v>
      </c>
      <c r="K458" s="598">
        <v>12</v>
      </c>
      <c r="L458" s="580">
        <v>15</v>
      </c>
      <c r="M458" s="580">
        <v>16</v>
      </c>
      <c r="N458" s="582">
        <v>16</v>
      </c>
      <c r="O458" s="618">
        <v>25</v>
      </c>
      <c r="P458" s="580">
        <v>36</v>
      </c>
      <c r="Q458" s="620">
        <v>43</v>
      </c>
      <c r="R458" s="620">
        <v>50</v>
      </c>
      <c r="S458" s="620"/>
      <c r="T458" s="620"/>
      <c r="U458" s="580">
        <v>1</v>
      </c>
      <c r="V458" s="580">
        <v>5</v>
      </c>
      <c r="W458" s="580">
        <v>8</v>
      </c>
      <c r="X458" s="593">
        <v>12</v>
      </c>
      <c r="Y458" s="593">
        <v>15</v>
      </c>
      <c r="Z458" s="580">
        <f t="shared" si="124"/>
        <v>16</v>
      </c>
      <c r="AA458" s="580">
        <f t="shared" si="124"/>
        <v>16</v>
      </c>
      <c r="AB458" s="575">
        <f t="shared" si="124"/>
        <v>25</v>
      </c>
      <c r="AC458" s="575">
        <f t="shared" si="124"/>
        <v>36</v>
      </c>
      <c r="AD458" s="575">
        <f t="shared" si="124"/>
        <v>43</v>
      </c>
      <c r="AE458" s="620">
        <f t="shared" si="124"/>
        <v>50</v>
      </c>
      <c r="AF458" s="838"/>
      <c r="AG458" s="828"/>
      <c r="AH458" s="822"/>
      <c r="AI458" s="822"/>
      <c r="AJ458" s="822"/>
      <c r="AK458" s="806"/>
      <c r="AL458" s="806"/>
      <c r="AM458" s="806"/>
      <c r="AN458" s="806"/>
      <c r="AO458" s="806"/>
      <c r="AP458" s="806"/>
      <c r="AQ458" s="806"/>
      <c r="AR458" s="806"/>
      <c r="AS458" s="806"/>
      <c r="AT458" s="806"/>
      <c r="AU458" s="806"/>
      <c r="AV458" s="806"/>
      <c r="AW458" s="806"/>
      <c r="AX458" s="806"/>
      <c r="AY458" s="806"/>
    </row>
    <row r="459" spans="1:51" ht="28.9" customHeight="1" x14ac:dyDescent="0.25">
      <c r="A459" s="828"/>
      <c r="B459" s="822"/>
      <c r="C459" s="823"/>
      <c r="D459" s="578" t="s">
        <v>354</v>
      </c>
      <c r="E459" s="597"/>
      <c r="F459" s="597"/>
      <c r="G459" s="583"/>
      <c r="H459" s="583">
        <v>68302358</v>
      </c>
      <c r="I459" s="575">
        <v>103283156.95238096</v>
      </c>
      <c r="J459" s="575">
        <v>83727823.619047612</v>
      </c>
      <c r="K459" s="575">
        <v>81122526.833333328</v>
      </c>
      <c r="L459" s="596">
        <v>76233693.5</v>
      </c>
      <c r="M459" s="596">
        <f t="shared" ref="M459:R459" si="126">+M455+M457</f>
        <v>75121584.835164845</v>
      </c>
      <c r="N459" s="597">
        <f t="shared" si="126"/>
        <v>88571791.428571433</v>
      </c>
      <c r="O459" s="597">
        <f t="shared" si="126"/>
        <v>116057277.14285715</v>
      </c>
      <c r="P459" s="596">
        <f t="shared" si="126"/>
        <v>136781472.40909091</v>
      </c>
      <c r="Q459" s="596">
        <f t="shared" si="126"/>
        <v>138205612.26923078</v>
      </c>
      <c r="R459" s="596">
        <f t="shared" si="126"/>
        <v>163182090.98275861</v>
      </c>
      <c r="S459" s="596"/>
      <c r="T459" s="620"/>
      <c r="U459" s="580">
        <v>68302358</v>
      </c>
      <c r="V459" s="580">
        <v>103283156.95238096</v>
      </c>
      <c r="W459" s="580">
        <v>83727823.619047612</v>
      </c>
      <c r="X459" s="593">
        <v>81122526.833333328</v>
      </c>
      <c r="Y459" s="593">
        <v>76233693.5</v>
      </c>
      <c r="Z459" s="580">
        <f t="shared" si="124"/>
        <v>75121584.835164845</v>
      </c>
      <c r="AA459" s="580">
        <f t="shared" si="124"/>
        <v>88571791.428571433</v>
      </c>
      <c r="AB459" s="575">
        <f t="shared" si="124"/>
        <v>116057277.14285715</v>
      </c>
      <c r="AC459" s="575">
        <f t="shared" si="124"/>
        <v>136781472.40909091</v>
      </c>
      <c r="AD459" s="575">
        <f t="shared" si="124"/>
        <v>138205612.26923078</v>
      </c>
      <c r="AE459" s="596">
        <f t="shared" si="124"/>
        <v>163182090.98275861</v>
      </c>
      <c r="AF459" s="839"/>
      <c r="AG459" s="829"/>
      <c r="AH459" s="823"/>
      <c r="AI459" s="823"/>
      <c r="AJ459" s="823"/>
      <c r="AK459" s="807"/>
      <c r="AL459" s="807"/>
      <c r="AM459" s="807"/>
      <c r="AN459" s="807"/>
      <c r="AO459" s="807"/>
      <c r="AP459" s="807"/>
      <c r="AQ459" s="807"/>
      <c r="AR459" s="807"/>
      <c r="AS459" s="807"/>
      <c r="AT459" s="807"/>
      <c r="AU459" s="807"/>
      <c r="AV459" s="807"/>
      <c r="AW459" s="807"/>
      <c r="AX459" s="807"/>
      <c r="AY459" s="807"/>
    </row>
    <row r="460" spans="1:51" ht="19.149999999999999" customHeight="1" x14ac:dyDescent="0.25">
      <c r="A460" s="828"/>
      <c r="B460" s="822"/>
      <c r="C460" s="837" t="s">
        <v>789</v>
      </c>
      <c r="D460" s="572" t="s">
        <v>345</v>
      </c>
      <c r="E460" s="582"/>
      <c r="F460" s="582"/>
      <c r="G460" s="582"/>
      <c r="H460" s="582"/>
      <c r="I460" s="580"/>
      <c r="J460" s="580">
        <v>2</v>
      </c>
      <c r="K460" s="598">
        <v>6</v>
      </c>
      <c r="L460" s="580">
        <v>8</v>
      </c>
      <c r="M460" s="580">
        <v>8</v>
      </c>
      <c r="N460" s="592">
        <v>9</v>
      </c>
      <c r="O460" s="618">
        <v>13</v>
      </c>
      <c r="P460" s="580">
        <v>15</v>
      </c>
      <c r="Q460" s="620">
        <v>20</v>
      </c>
      <c r="R460" s="620">
        <v>24</v>
      </c>
      <c r="S460" s="620"/>
      <c r="T460" s="620"/>
      <c r="U460" s="580">
        <v>0</v>
      </c>
      <c r="V460" s="580">
        <v>0</v>
      </c>
      <c r="W460" s="580">
        <v>2</v>
      </c>
      <c r="X460" s="593">
        <v>6</v>
      </c>
      <c r="Y460" s="593">
        <v>8</v>
      </c>
      <c r="Z460" s="580">
        <f t="shared" si="124"/>
        <v>8</v>
      </c>
      <c r="AA460" s="580">
        <f t="shared" si="124"/>
        <v>9</v>
      </c>
      <c r="AB460" s="575">
        <f t="shared" si="124"/>
        <v>13</v>
      </c>
      <c r="AC460" s="575">
        <f t="shared" si="124"/>
        <v>15</v>
      </c>
      <c r="AD460" s="575">
        <f t="shared" si="124"/>
        <v>20</v>
      </c>
      <c r="AE460" s="620">
        <f t="shared" si="124"/>
        <v>24</v>
      </c>
      <c r="AF460" s="864" t="s">
        <v>790</v>
      </c>
      <c r="AG460" s="835" t="str">
        <f>+C460</f>
        <v>10- ENGATIVA</v>
      </c>
      <c r="AH460" s="865" t="s">
        <v>791</v>
      </c>
      <c r="AI460" s="865" t="s">
        <v>792</v>
      </c>
      <c r="AJ460" s="824" t="s">
        <v>751</v>
      </c>
      <c r="AK460" s="826" t="s">
        <v>490</v>
      </c>
      <c r="AL460" s="826" t="s">
        <v>765</v>
      </c>
      <c r="AM460" s="826" t="s">
        <v>752</v>
      </c>
      <c r="AN460" s="861">
        <v>817019</v>
      </c>
      <c r="AO460" s="820">
        <v>387428</v>
      </c>
      <c r="AP460" s="820">
        <v>429591</v>
      </c>
      <c r="AQ460" s="833" t="s">
        <v>492</v>
      </c>
      <c r="AR460" s="833" t="s">
        <v>492</v>
      </c>
      <c r="AS460" s="833" t="s">
        <v>492</v>
      </c>
      <c r="AT460" s="833" t="s">
        <v>492</v>
      </c>
      <c r="AU460" s="833" t="s">
        <v>492</v>
      </c>
      <c r="AV460" s="833" t="s">
        <v>492</v>
      </c>
      <c r="AW460" s="833" t="s">
        <v>492</v>
      </c>
      <c r="AX460" s="861">
        <v>817019</v>
      </c>
      <c r="AY460" s="862" t="s">
        <v>793</v>
      </c>
    </row>
    <row r="461" spans="1:51" ht="19.149999999999999" customHeight="1" x14ac:dyDescent="0.25">
      <c r="A461" s="828"/>
      <c r="B461" s="822"/>
      <c r="C461" s="838"/>
      <c r="D461" s="578" t="s">
        <v>349</v>
      </c>
      <c r="E461" s="583"/>
      <c r="F461" s="583"/>
      <c r="G461" s="583"/>
      <c r="H461" s="583"/>
      <c r="I461" s="575"/>
      <c r="J461" s="580">
        <v>19555333.333333332</v>
      </c>
      <c r="K461" s="580">
        <v>39110666.666666664</v>
      </c>
      <c r="L461" s="580">
        <v>39110666.666666664</v>
      </c>
      <c r="M461" s="580">
        <f>+M460*$Z$395/$Z$394</f>
        <v>36102153.846153848</v>
      </c>
      <c r="N461" s="582">
        <f>+N460*$AA$395/$AA$394</f>
        <v>48180664.285714284</v>
      </c>
      <c r="O461" s="582">
        <f>+O460*$AB$395/$AB$394</f>
        <v>58832800</v>
      </c>
      <c r="P461" s="580">
        <f>+P460*$AC$395/$AC$394</f>
        <v>55541454.545454547</v>
      </c>
      <c r="Q461" s="580">
        <f>+Q460*$AD$395/$AD$394</f>
        <v>62662153.846153848</v>
      </c>
      <c r="R461" s="580">
        <f>+R460*$AE$395/$AE$394</f>
        <v>76656052.551724136</v>
      </c>
      <c r="S461" s="580"/>
      <c r="T461" s="615"/>
      <c r="U461" s="580">
        <v>0</v>
      </c>
      <c r="V461" s="580">
        <v>0</v>
      </c>
      <c r="W461" s="580">
        <v>19555333.333333332</v>
      </c>
      <c r="X461" s="593">
        <v>39110666.666666664</v>
      </c>
      <c r="Y461" s="593">
        <v>39110666.666666664</v>
      </c>
      <c r="Z461" s="580">
        <f t="shared" si="124"/>
        <v>36102153.846153848</v>
      </c>
      <c r="AA461" s="580">
        <f t="shared" si="124"/>
        <v>48180664.285714284</v>
      </c>
      <c r="AB461" s="575">
        <f t="shared" si="124"/>
        <v>58832800</v>
      </c>
      <c r="AC461" s="575">
        <f t="shared" si="124"/>
        <v>55541454.545454547</v>
      </c>
      <c r="AD461" s="575">
        <f t="shared" si="124"/>
        <v>62662153.846153848</v>
      </c>
      <c r="AE461" s="580">
        <f t="shared" si="124"/>
        <v>76656052.551724136</v>
      </c>
      <c r="AF461" s="838"/>
      <c r="AG461" s="828"/>
      <c r="AH461" s="822"/>
      <c r="AI461" s="822"/>
      <c r="AJ461" s="822"/>
      <c r="AK461" s="806"/>
      <c r="AL461" s="806"/>
      <c r="AM461" s="806"/>
      <c r="AN461" s="806"/>
      <c r="AO461" s="806"/>
      <c r="AP461" s="806"/>
      <c r="AQ461" s="806"/>
      <c r="AR461" s="806"/>
      <c r="AS461" s="806"/>
      <c r="AT461" s="806"/>
      <c r="AU461" s="806"/>
      <c r="AV461" s="806"/>
      <c r="AW461" s="806"/>
      <c r="AX461" s="806"/>
      <c r="AY461" s="806"/>
    </row>
    <row r="462" spans="1:51" ht="28.9" customHeight="1" x14ac:dyDescent="0.25">
      <c r="A462" s="828"/>
      <c r="B462" s="822"/>
      <c r="C462" s="838"/>
      <c r="D462" s="579" t="s">
        <v>351</v>
      </c>
      <c r="E462" s="583"/>
      <c r="F462" s="583"/>
      <c r="G462" s="583"/>
      <c r="H462" s="583"/>
      <c r="I462" s="575"/>
      <c r="J462" s="575"/>
      <c r="K462" s="619"/>
      <c r="L462" s="575"/>
      <c r="M462" s="575"/>
      <c r="N462" s="573"/>
      <c r="O462" s="613"/>
      <c r="P462" s="620"/>
      <c r="Q462" s="615"/>
      <c r="R462" s="615"/>
      <c r="S462" s="615"/>
      <c r="T462" s="615"/>
      <c r="U462" s="580">
        <v>0</v>
      </c>
      <c r="V462" s="580">
        <v>0</v>
      </c>
      <c r="W462" s="580">
        <v>0</v>
      </c>
      <c r="X462" s="593">
        <v>0</v>
      </c>
      <c r="Y462" s="593">
        <v>0</v>
      </c>
      <c r="Z462" s="580">
        <f t="shared" si="124"/>
        <v>0</v>
      </c>
      <c r="AA462" s="580">
        <f t="shared" si="124"/>
        <v>0</v>
      </c>
      <c r="AB462" s="575">
        <f t="shared" si="124"/>
        <v>0</v>
      </c>
      <c r="AC462" s="575">
        <f t="shared" si="124"/>
        <v>0</v>
      </c>
      <c r="AD462" s="575">
        <f t="shared" si="124"/>
        <v>0</v>
      </c>
      <c r="AE462" s="615">
        <f t="shared" si="124"/>
        <v>0</v>
      </c>
      <c r="AF462" s="838"/>
      <c r="AG462" s="828"/>
      <c r="AH462" s="822"/>
      <c r="AI462" s="822"/>
      <c r="AJ462" s="822"/>
      <c r="AK462" s="806"/>
      <c r="AL462" s="806"/>
      <c r="AM462" s="806"/>
      <c r="AN462" s="806"/>
      <c r="AO462" s="806"/>
      <c r="AP462" s="806"/>
      <c r="AQ462" s="806"/>
      <c r="AR462" s="806"/>
      <c r="AS462" s="806"/>
      <c r="AT462" s="806"/>
      <c r="AU462" s="806"/>
      <c r="AV462" s="806"/>
      <c r="AW462" s="806"/>
      <c r="AX462" s="806"/>
      <c r="AY462" s="806"/>
    </row>
    <row r="463" spans="1:51" ht="28.9" customHeight="1" x14ac:dyDescent="0.25">
      <c r="A463" s="828"/>
      <c r="B463" s="822"/>
      <c r="C463" s="838"/>
      <c r="D463" s="578" t="s">
        <v>352</v>
      </c>
      <c r="E463" s="583"/>
      <c r="F463" s="583"/>
      <c r="G463" s="583"/>
      <c r="H463" s="583"/>
      <c r="I463" s="575"/>
      <c r="J463" s="575"/>
      <c r="K463" s="575">
        <v>2901193.5</v>
      </c>
      <c r="L463" s="575">
        <v>2901193.5</v>
      </c>
      <c r="M463" s="575">
        <v>2917277.1428571427</v>
      </c>
      <c r="N463" s="583">
        <v>2917277.1428571427</v>
      </c>
      <c r="O463" s="583">
        <v>2917277.1428571427</v>
      </c>
      <c r="P463" s="615">
        <v>3481981.5</v>
      </c>
      <c r="Q463" s="615">
        <v>3481981.5</v>
      </c>
      <c r="R463" s="615">
        <v>3481981.5</v>
      </c>
      <c r="S463" s="615"/>
      <c r="T463" s="615"/>
      <c r="U463" s="580">
        <v>0</v>
      </c>
      <c r="V463" s="580">
        <v>0</v>
      </c>
      <c r="W463" s="580">
        <v>0</v>
      </c>
      <c r="X463" s="593">
        <v>2901193.5</v>
      </c>
      <c r="Y463" s="593">
        <v>2901193.5</v>
      </c>
      <c r="Z463" s="580">
        <f t="shared" si="124"/>
        <v>2917277.1428571427</v>
      </c>
      <c r="AA463" s="580">
        <f t="shared" si="124"/>
        <v>2917277.1428571427</v>
      </c>
      <c r="AB463" s="575">
        <f t="shared" si="124"/>
        <v>2917277.1428571427</v>
      </c>
      <c r="AC463" s="575">
        <f t="shared" si="124"/>
        <v>3481981.5</v>
      </c>
      <c r="AD463" s="575">
        <f t="shared" si="124"/>
        <v>3481981.5</v>
      </c>
      <c r="AE463" s="615">
        <f t="shared" si="124"/>
        <v>3481981.5</v>
      </c>
      <c r="AF463" s="838"/>
      <c r="AG463" s="828"/>
      <c r="AH463" s="822"/>
      <c r="AI463" s="822"/>
      <c r="AJ463" s="822"/>
      <c r="AK463" s="806"/>
      <c r="AL463" s="806"/>
      <c r="AM463" s="806"/>
      <c r="AN463" s="806"/>
      <c r="AO463" s="806"/>
      <c r="AP463" s="806"/>
      <c r="AQ463" s="806"/>
      <c r="AR463" s="806"/>
      <c r="AS463" s="806"/>
      <c r="AT463" s="806"/>
      <c r="AU463" s="806"/>
      <c r="AV463" s="806"/>
      <c r="AW463" s="806"/>
      <c r="AX463" s="806"/>
      <c r="AY463" s="806"/>
    </row>
    <row r="464" spans="1:51" ht="28.9" customHeight="1" x14ac:dyDescent="0.25">
      <c r="A464" s="828"/>
      <c r="B464" s="822"/>
      <c r="C464" s="838"/>
      <c r="D464" s="579" t="s">
        <v>353</v>
      </c>
      <c r="E464" s="582"/>
      <c r="F464" s="582"/>
      <c r="G464" s="582"/>
      <c r="H464" s="582"/>
      <c r="I464" s="580"/>
      <c r="J464" s="580">
        <v>2</v>
      </c>
      <c r="K464" s="598">
        <v>6</v>
      </c>
      <c r="L464" s="580">
        <v>8</v>
      </c>
      <c r="M464" s="580">
        <v>8</v>
      </c>
      <c r="N464" s="582">
        <v>9</v>
      </c>
      <c r="O464" s="618">
        <v>13</v>
      </c>
      <c r="P464" s="580">
        <v>15</v>
      </c>
      <c r="Q464" s="620">
        <v>20</v>
      </c>
      <c r="R464" s="620">
        <v>24</v>
      </c>
      <c r="S464" s="620"/>
      <c r="T464" s="620"/>
      <c r="U464" s="580">
        <v>0</v>
      </c>
      <c r="V464" s="580">
        <v>0</v>
      </c>
      <c r="W464" s="580">
        <v>2</v>
      </c>
      <c r="X464" s="593">
        <v>6</v>
      </c>
      <c r="Y464" s="593">
        <v>8</v>
      </c>
      <c r="Z464" s="580">
        <f t="shared" ref="Z464:AE479" si="127">+M464</f>
        <v>8</v>
      </c>
      <c r="AA464" s="580">
        <f t="shared" si="127"/>
        <v>9</v>
      </c>
      <c r="AB464" s="575">
        <f t="shared" si="127"/>
        <v>13</v>
      </c>
      <c r="AC464" s="575">
        <f t="shared" si="127"/>
        <v>15</v>
      </c>
      <c r="AD464" s="575">
        <f t="shared" si="127"/>
        <v>20</v>
      </c>
      <c r="AE464" s="620">
        <f t="shared" si="127"/>
        <v>24</v>
      </c>
      <c r="AF464" s="838"/>
      <c r="AG464" s="828"/>
      <c r="AH464" s="822"/>
      <c r="AI464" s="822"/>
      <c r="AJ464" s="822"/>
      <c r="AK464" s="806"/>
      <c r="AL464" s="806"/>
      <c r="AM464" s="806"/>
      <c r="AN464" s="806"/>
      <c r="AO464" s="806"/>
      <c r="AP464" s="806"/>
      <c r="AQ464" s="806"/>
      <c r="AR464" s="806"/>
      <c r="AS464" s="806"/>
      <c r="AT464" s="806"/>
      <c r="AU464" s="806"/>
      <c r="AV464" s="806"/>
      <c r="AW464" s="806"/>
      <c r="AX464" s="806"/>
      <c r="AY464" s="806"/>
    </row>
    <row r="465" spans="1:51" ht="28.9" customHeight="1" x14ac:dyDescent="0.25">
      <c r="A465" s="828"/>
      <c r="B465" s="822"/>
      <c r="C465" s="839"/>
      <c r="D465" s="578" t="s">
        <v>354</v>
      </c>
      <c r="E465" s="597"/>
      <c r="F465" s="597"/>
      <c r="G465" s="583"/>
      <c r="H465" s="583"/>
      <c r="I465" s="575"/>
      <c r="J465" s="575">
        <v>19555333.333333332</v>
      </c>
      <c r="K465" s="575">
        <v>42011860.166666664</v>
      </c>
      <c r="L465" s="596">
        <v>42011860.166666664</v>
      </c>
      <c r="M465" s="596">
        <f t="shared" ref="M465:R465" si="128">+M461+M463</f>
        <v>39019430.98901099</v>
      </c>
      <c r="N465" s="597">
        <f t="shared" si="128"/>
        <v>51097941.428571425</v>
      </c>
      <c r="O465" s="597">
        <f t="shared" si="128"/>
        <v>61750077.142857142</v>
      </c>
      <c r="P465" s="596">
        <f t="shared" si="128"/>
        <v>59023436.045454547</v>
      </c>
      <c r="Q465" s="596">
        <f t="shared" si="128"/>
        <v>66144135.346153848</v>
      </c>
      <c r="R465" s="596">
        <f t="shared" si="128"/>
        <v>80138034.051724136</v>
      </c>
      <c r="S465" s="596"/>
      <c r="T465" s="620"/>
      <c r="U465" s="580">
        <v>0</v>
      </c>
      <c r="V465" s="580">
        <v>0</v>
      </c>
      <c r="W465" s="580">
        <v>19555333.333333332</v>
      </c>
      <c r="X465" s="593">
        <v>42011860.166666664</v>
      </c>
      <c r="Y465" s="593">
        <v>42011860.166666664</v>
      </c>
      <c r="Z465" s="580">
        <f t="shared" si="127"/>
        <v>39019430.98901099</v>
      </c>
      <c r="AA465" s="580">
        <f t="shared" si="127"/>
        <v>51097941.428571425</v>
      </c>
      <c r="AB465" s="575">
        <f t="shared" si="127"/>
        <v>61750077.142857142</v>
      </c>
      <c r="AC465" s="575">
        <f t="shared" si="127"/>
        <v>59023436.045454547</v>
      </c>
      <c r="AD465" s="575">
        <f t="shared" si="127"/>
        <v>66144135.346153848</v>
      </c>
      <c r="AE465" s="596">
        <f t="shared" si="127"/>
        <v>80138034.051724136</v>
      </c>
      <c r="AF465" s="839"/>
      <c r="AG465" s="829"/>
      <c r="AH465" s="823"/>
      <c r="AI465" s="823"/>
      <c r="AJ465" s="823"/>
      <c r="AK465" s="807"/>
      <c r="AL465" s="807"/>
      <c r="AM465" s="807"/>
      <c r="AN465" s="807"/>
      <c r="AO465" s="807"/>
      <c r="AP465" s="807"/>
      <c r="AQ465" s="807"/>
      <c r="AR465" s="807"/>
      <c r="AS465" s="807"/>
      <c r="AT465" s="807"/>
      <c r="AU465" s="807"/>
      <c r="AV465" s="807"/>
      <c r="AW465" s="807"/>
      <c r="AX465" s="807"/>
      <c r="AY465" s="807"/>
    </row>
    <row r="466" spans="1:51" ht="19.149999999999999" customHeight="1" x14ac:dyDescent="0.25">
      <c r="A466" s="828"/>
      <c r="B466" s="822"/>
      <c r="C466" s="824" t="s">
        <v>794</v>
      </c>
      <c r="D466" s="572" t="s">
        <v>345</v>
      </c>
      <c r="E466" s="582"/>
      <c r="F466" s="582"/>
      <c r="G466" s="582"/>
      <c r="H466" s="582"/>
      <c r="I466" s="580"/>
      <c r="J466" s="580">
        <v>4</v>
      </c>
      <c r="K466" s="598">
        <v>6</v>
      </c>
      <c r="L466" s="580">
        <v>9</v>
      </c>
      <c r="M466" s="580">
        <v>11</v>
      </c>
      <c r="N466" s="592">
        <v>13</v>
      </c>
      <c r="O466" s="618">
        <v>14</v>
      </c>
      <c r="P466" s="580">
        <v>14</v>
      </c>
      <c r="Q466" s="620">
        <v>16</v>
      </c>
      <c r="R466" s="620">
        <v>16</v>
      </c>
      <c r="S466" s="620"/>
      <c r="T466" s="620"/>
      <c r="U466" s="580">
        <v>0</v>
      </c>
      <c r="V466" s="580">
        <v>0</v>
      </c>
      <c r="W466" s="580">
        <v>4</v>
      </c>
      <c r="X466" s="593">
        <v>6</v>
      </c>
      <c r="Y466" s="593">
        <v>9</v>
      </c>
      <c r="Z466" s="580">
        <f t="shared" si="127"/>
        <v>11</v>
      </c>
      <c r="AA466" s="580">
        <f t="shared" si="127"/>
        <v>13</v>
      </c>
      <c r="AB466" s="575">
        <f t="shared" si="127"/>
        <v>14</v>
      </c>
      <c r="AC466" s="575">
        <f t="shared" si="127"/>
        <v>14</v>
      </c>
      <c r="AD466" s="575">
        <f t="shared" si="127"/>
        <v>16</v>
      </c>
      <c r="AE466" s="620">
        <f t="shared" si="127"/>
        <v>16</v>
      </c>
      <c r="AF466" s="864" t="s">
        <v>795</v>
      </c>
      <c r="AG466" s="835" t="str">
        <f>+C466</f>
        <v>11- SUBA</v>
      </c>
      <c r="AH466" s="865" t="s">
        <v>796</v>
      </c>
      <c r="AI466" s="865" t="s">
        <v>797</v>
      </c>
      <c r="AJ466" s="824" t="s">
        <v>751</v>
      </c>
      <c r="AK466" s="826" t="s">
        <v>490</v>
      </c>
      <c r="AL466" s="826" t="s">
        <v>765</v>
      </c>
      <c r="AM466" s="826" t="s">
        <v>752</v>
      </c>
      <c r="AN466" s="861">
        <v>1294358</v>
      </c>
      <c r="AO466" s="820">
        <v>610618</v>
      </c>
      <c r="AP466" s="820">
        <v>683740</v>
      </c>
      <c r="AQ466" s="833" t="s">
        <v>492</v>
      </c>
      <c r="AR466" s="833" t="s">
        <v>492</v>
      </c>
      <c r="AS466" s="833" t="s">
        <v>492</v>
      </c>
      <c r="AT466" s="833" t="s">
        <v>492</v>
      </c>
      <c r="AU466" s="833" t="s">
        <v>492</v>
      </c>
      <c r="AV466" s="833" t="s">
        <v>492</v>
      </c>
      <c r="AW466" s="833" t="s">
        <v>492</v>
      </c>
      <c r="AX466" s="861">
        <v>1294358</v>
      </c>
      <c r="AY466" s="868" t="s">
        <v>798</v>
      </c>
    </row>
    <row r="467" spans="1:51" ht="19.149999999999999" customHeight="1" x14ac:dyDescent="0.25">
      <c r="A467" s="828"/>
      <c r="B467" s="822"/>
      <c r="C467" s="822"/>
      <c r="D467" s="578" t="s">
        <v>349</v>
      </c>
      <c r="E467" s="583"/>
      <c r="F467" s="583"/>
      <c r="G467" s="583"/>
      <c r="H467" s="583"/>
      <c r="I467" s="575"/>
      <c r="J467" s="580">
        <v>39110666.666666664</v>
      </c>
      <c r="K467" s="580">
        <v>39110666.666666664</v>
      </c>
      <c r="L467" s="580">
        <v>43999500</v>
      </c>
      <c r="M467" s="580">
        <f>+M466*$Z$395/$Z$394</f>
        <v>49640461.538461536</v>
      </c>
      <c r="N467" s="582">
        <f>+N466*$AA$395/$AA$394</f>
        <v>69594292.857142851</v>
      </c>
      <c r="O467" s="582">
        <f>+O466*$AB$395/$AB$394</f>
        <v>63358400</v>
      </c>
      <c r="P467" s="580">
        <f>+P466*$AC$395/$AC$394</f>
        <v>51838690.909090906</v>
      </c>
      <c r="Q467" s="580">
        <f>+Q466*$AD$395/$AD$394</f>
        <v>50129723.07692308</v>
      </c>
      <c r="R467" s="580">
        <f>+R466*$AE$395/$AE$394</f>
        <v>51104035.034482762</v>
      </c>
      <c r="S467" s="580"/>
      <c r="T467" s="615"/>
      <c r="U467" s="580">
        <v>0</v>
      </c>
      <c r="V467" s="580">
        <v>0</v>
      </c>
      <c r="W467" s="580">
        <v>39110666.666666664</v>
      </c>
      <c r="X467" s="593">
        <v>39110666.666666664</v>
      </c>
      <c r="Y467" s="593">
        <v>43999500</v>
      </c>
      <c r="Z467" s="580">
        <f t="shared" si="127"/>
        <v>49640461.538461536</v>
      </c>
      <c r="AA467" s="580">
        <f t="shared" si="127"/>
        <v>69594292.857142851</v>
      </c>
      <c r="AB467" s="575">
        <f t="shared" si="127"/>
        <v>63358400</v>
      </c>
      <c r="AC467" s="575">
        <f t="shared" si="127"/>
        <v>51838690.909090906</v>
      </c>
      <c r="AD467" s="575">
        <f t="shared" si="127"/>
        <v>50129723.07692308</v>
      </c>
      <c r="AE467" s="580">
        <f t="shared" si="127"/>
        <v>51104035.034482762</v>
      </c>
      <c r="AF467" s="838"/>
      <c r="AG467" s="828"/>
      <c r="AH467" s="822"/>
      <c r="AI467" s="822"/>
      <c r="AJ467" s="822"/>
      <c r="AK467" s="806"/>
      <c r="AL467" s="806"/>
      <c r="AM467" s="806"/>
      <c r="AN467" s="806"/>
      <c r="AO467" s="806"/>
      <c r="AP467" s="806"/>
      <c r="AQ467" s="806"/>
      <c r="AR467" s="806"/>
      <c r="AS467" s="806"/>
      <c r="AT467" s="806"/>
      <c r="AU467" s="806"/>
      <c r="AV467" s="806"/>
      <c r="AW467" s="806"/>
      <c r="AX467" s="806"/>
      <c r="AY467" s="869"/>
    </row>
    <row r="468" spans="1:51" ht="28.9" customHeight="1" x14ac:dyDescent="0.25">
      <c r="A468" s="828"/>
      <c r="B468" s="822"/>
      <c r="C468" s="822"/>
      <c r="D468" s="579" t="s">
        <v>351</v>
      </c>
      <c r="E468" s="583"/>
      <c r="F468" s="583"/>
      <c r="G468" s="583"/>
      <c r="H468" s="583"/>
      <c r="I468" s="575"/>
      <c r="J468" s="575"/>
      <c r="K468" s="619"/>
      <c r="L468" s="575"/>
      <c r="M468" s="575"/>
      <c r="N468" s="573"/>
      <c r="O468" s="613"/>
      <c r="P468" s="620"/>
      <c r="Q468" s="615"/>
      <c r="R468" s="615"/>
      <c r="S468" s="615"/>
      <c r="T468" s="615"/>
      <c r="U468" s="580">
        <v>0</v>
      </c>
      <c r="V468" s="580">
        <v>0</v>
      </c>
      <c r="W468" s="580">
        <v>0</v>
      </c>
      <c r="X468" s="593">
        <v>0</v>
      </c>
      <c r="Y468" s="593">
        <v>0</v>
      </c>
      <c r="Z468" s="580">
        <f t="shared" si="127"/>
        <v>0</v>
      </c>
      <c r="AA468" s="580">
        <f t="shared" si="127"/>
        <v>0</v>
      </c>
      <c r="AB468" s="575">
        <f t="shared" si="127"/>
        <v>0</v>
      </c>
      <c r="AC468" s="575">
        <f t="shared" si="127"/>
        <v>0</v>
      </c>
      <c r="AD468" s="575">
        <f t="shared" si="127"/>
        <v>0</v>
      </c>
      <c r="AE468" s="615">
        <f t="shared" si="127"/>
        <v>0</v>
      </c>
      <c r="AF468" s="838"/>
      <c r="AG468" s="828"/>
      <c r="AH468" s="822"/>
      <c r="AI468" s="822"/>
      <c r="AJ468" s="822"/>
      <c r="AK468" s="806"/>
      <c r="AL468" s="806"/>
      <c r="AM468" s="806"/>
      <c r="AN468" s="806"/>
      <c r="AO468" s="806"/>
      <c r="AP468" s="806"/>
      <c r="AQ468" s="806"/>
      <c r="AR468" s="806"/>
      <c r="AS468" s="806"/>
      <c r="AT468" s="806"/>
      <c r="AU468" s="806"/>
      <c r="AV468" s="806"/>
      <c r="AW468" s="806"/>
      <c r="AX468" s="806"/>
      <c r="AY468" s="869"/>
    </row>
    <row r="469" spans="1:51" ht="28.9" customHeight="1" x14ac:dyDescent="0.25">
      <c r="A469" s="828"/>
      <c r="B469" s="822"/>
      <c r="C469" s="822"/>
      <c r="D469" s="578" t="s">
        <v>352</v>
      </c>
      <c r="E469" s="583"/>
      <c r="F469" s="583"/>
      <c r="G469" s="583"/>
      <c r="H469" s="583"/>
      <c r="I469" s="575"/>
      <c r="J469" s="575"/>
      <c r="K469" s="575">
        <v>2901193.5</v>
      </c>
      <c r="L469" s="575">
        <v>2901193.5</v>
      </c>
      <c r="M469" s="575">
        <v>2917277.1428571427</v>
      </c>
      <c r="N469" s="583">
        <v>2917277.1428571427</v>
      </c>
      <c r="O469" s="583">
        <v>2917277.1428571427</v>
      </c>
      <c r="P469" s="575">
        <v>3481981.5</v>
      </c>
      <c r="Q469" s="575">
        <v>3481981.5</v>
      </c>
      <c r="R469" s="575">
        <v>3481981.5</v>
      </c>
      <c r="S469" s="575"/>
      <c r="T469" s="615"/>
      <c r="U469" s="580">
        <v>0</v>
      </c>
      <c r="V469" s="580">
        <v>0</v>
      </c>
      <c r="W469" s="580">
        <v>0</v>
      </c>
      <c r="X469" s="593">
        <v>2901193.5</v>
      </c>
      <c r="Y469" s="593">
        <v>2901193.5</v>
      </c>
      <c r="Z469" s="580">
        <f t="shared" si="127"/>
        <v>2917277.1428571427</v>
      </c>
      <c r="AA469" s="580">
        <f t="shared" si="127"/>
        <v>2917277.1428571427</v>
      </c>
      <c r="AB469" s="575">
        <f t="shared" si="127"/>
        <v>2917277.1428571427</v>
      </c>
      <c r="AC469" s="575">
        <f t="shared" si="127"/>
        <v>3481981.5</v>
      </c>
      <c r="AD469" s="575">
        <f t="shared" si="127"/>
        <v>3481981.5</v>
      </c>
      <c r="AE469" s="575">
        <f t="shared" si="127"/>
        <v>3481981.5</v>
      </c>
      <c r="AF469" s="838"/>
      <c r="AG469" s="828"/>
      <c r="AH469" s="822"/>
      <c r="AI469" s="822"/>
      <c r="AJ469" s="822"/>
      <c r="AK469" s="806"/>
      <c r="AL469" s="806"/>
      <c r="AM469" s="806"/>
      <c r="AN469" s="806"/>
      <c r="AO469" s="806"/>
      <c r="AP469" s="806"/>
      <c r="AQ469" s="806"/>
      <c r="AR469" s="806"/>
      <c r="AS469" s="806"/>
      <c r="AT469" s="806"/>
      <c r="AU469" s="806"/>
      <c r="AV469" s="806"/>
      <c r="AW469" s="806"/>
      <c r="AX469" s="806"/>
      <c r="AY469" s="869"/>
    </row>
    <row r="470" spans="1:51" ht="28.9" customHeight="1" x14ac:dyDescent="0.25">
      <c r="A470" s="828"/>
      <c r="B470" s="822"/>
      <c r="C470" s="822"/>
      <c r="D470" s="579" t="s">
        <v>353</v>
      </c>
      <c r="E470" s="582"/>
      <c r="F470" s="582"/>
      <c r="G470" s="582"/>
      <c r="H470" s="582"/>
      <c r="I470" s="580"/>
      <c r="J470" s="580">
        <v>4</v>
      </c>
      <c r="K470" s="598">
        <v>6</v>
      </c>
      <c r="L470" s="580">
        <v>9</v>
      </c>
      <c r="M470" s="580">
        <v>11</v>
      </c>
      <c r="N470" s="582">
        <v>13</v>
      </c>
      <c r="O470" s="618">
        <v>14</v>
      </c>
      <c r="P470" s="580">
        <v>14</v>
      </c>
      <c r="Q470" s="620">
        <v>16</v>
      </c>
      <c r="R470" s="620">
        <v>16</v>
      </c>
      <c r="S470" s="620"/>
      <c r="T470" s="620"/>
      <c r="U470" s="580">
        <v>0</v>
      </c>
      <c r="V470" s="580">
        <v>0</v>
      </c>
      <c r="W470" s="580">
        <v>4</v>
      </c>
      <c r="X470" s="593">
        <v>6</v>
      </c>
      <c r="Y470" s="593">
        <v>9</v>
      </c>
      <c r="Z470" s="580">
        <f t="shared" si="127"/>
        <v>11</v>
      </c>
      <c r="AA470" s="580">
        <f t="shared" si="127"/>
        <v>13</v>
      </c>
      <c r="AB470" s="575">
        <f t="shared" si="127"/>
        <v>14</v>
      </c>
      <c r="AC470" s="575">
        <f t="shared" si="127"/>
        <v>14</v>
      </c>
      <c r="AD470" s="575">
        <f t="shared" si="127"/>
        <v>16</v>
      </c>
      <c r="AE470" s="620">
        <f t="shared" si="127"/>
        <v>16</v>
      </c>
      <c r="AF470" s="838"/>
      <c r="AG470" s="828"/>
      <c r="AH470" s="822"/>
      <c r="AI470" s="822"/>
      <c r="AJ470" s="822"/>
      <c r="AK470" s="806"/>
      <c r="AL470" s="806"/>
      <c r="AM470" s="806"/>
      <c r="AN470" s="806"/>
      <c r="AO470" s="806"/>
      <c r="AP470" s="806"/>
      <c r="AQ470" s="806"/>
      <c r="AR470" s="806"/>
      <c r="AS470" s="806"/>
      <c r="AT470" s="806"/>
      <c r="AU470" s="806"/>
      <c r="AV470" s="806"/>
      <c r="AW470" s="806"/>
      <c r="AX470" s="806"/>
      <c r="AY470" s="869"/>
    </row>
    <row r="471" spans="1:51" ht="28.9" customHeight="1" x14ac:dyDescent="0.25">
      <c r="A471" s="828"/>
      <c r="B471" s="822"/>
      <c r="C471" s="823"/>
      <c r="D471" s="578" t="s">
        <v>354</v>
      </c>
      <c r="E471" s="597"/>
      <c r="F471" s="597"/>
      <c r="G471" s="583"/>
      <c r="H471" s="583"/>
      <c r="I471" s="575"/>
      <c r="J471" s="575">
        <v>39110666.666666664</v>
      </c>
      <c r="K471" s="575">
        <v>42011860.166666664</v>
      </c>
      <c r="L471" s="596">
        <v>46900693.5</v>
      </c>
      <c r="M471" s="596">
        <f t="shared" ref="M471:R471" si="129">+M467+M469</f>
        <v>52557738.681318678</v>
      </c>
      <c r="N471" s="597">
        <f t="shared" si="129"/>
        <v>72511570</v>
      </c>
      <c r="O471" s="597">
        <f t="shared" si="129"/>
        <v>66275677.142857142</v>
      </c>
      <c r="P471" s="596">
        <f t="shared" si="129"/>
        <v>55320672.409090906</v>
      </c>
      <c r="Q471" s="596">
        <f t="shared" si="129"/>
        <v>53611704.57692308</v>
      </c>
      <c r="R471" s="596">
        <f t="shared" si="129"/>
        <v>54586016.534482762</v>
      </c>
      <c r="S471" s="596"/>
      <c r="T471" s="620"/>
      <c r="U471" s="580">
        <v>0</v>
      </c>
      <c r="V471" s="580">
        <v>0</v>
      </c>
      <c r="W471" s="580">
        <v>39110666.666666664</v>
      </c>
      <c r="X471" s="593">
        <v>42011860.166666664</v>
      </c>
      <c r="Y471" s="593">
        <v>46900693.5</v>
      </c>
      <c r="Z471" s="580">
        <f t="shared" si="127"/>
        <v>52557738.681318678</v>
      </c>
      <c r="AA471" s="580">
        <f t="shared" si="127"/>
        <v>72511570</v>
      </c>
      <c r="AB471" s="575">
        <f t="shared" si="127"/>
        <v>66275677.142857142</v>
      </c>
      <c r="AC471" s="575">
        <f t="shared" si="127"/>
        <v>55320672.409090906</v>
      </c>
      <c r="AD471" s="575">
        <f t="shared" si="127"/>
        <v>53611704.57692308</v>
      </c>
      <c r="AE471" s="596">
        <f t="shared" si="127"/>
        <v>54586016.534482762</v>
      </c>
      <c r="AF471" s="839"/>
      <c r="AG471" s="829"/>
      <c r="AH471" s="823"/>
      <c r="AI471" s="823"/>
      <c r="AJ471" s="823"/>
      <c r="AK471" s="807"/>
      <c r="AL471" s="807"/>
      <c r="AM471" s="807"/>
      <c r="AN471" s="807"/>
      <c r="AO471" s="807"/>
      <c r="AP471" s="807"/>
      <c r="AQ471" s="807"/>
      <c r="AR471" s="807"/>
      <c r="AS471" s="807"/>
      <c r="AT471" s="807"/>
      <c r="AU471" s="807"/>
      <c r="AV471" s="807"/>
      <c r="AW471" s="807"/>
      <c r="AX471" s="807"/>
      <c r="AY471" s="870"/>
    </row>
    <row r="472" spans="1:51" ht="19.149999999999999" customHeight="1" x14ac:dyDescent="0.25">
      <c r="A472" s="828"/>
      <c r="B472" s="822"/>
      <c r="C472" s="837" t="s">
        <v>649</v>
      </c>
      <c r="D472" s="572" t="s">
        <v>345</v>
      </c>
      <c r="E472" s="582"/>
      <c r="F472" s="582"/>
      <c r="G472" s="582"/>
      <c r="H472" s="582"/>
      <c r="I472" s="580">
        <v>2</v>
      </c>
      <c r="J472" s="580">
        <v>5</v>
      </c>
      <c r="K472" s="598">
        <v>5</v>
      </c>
      <c r="L472" s="580">
        <v>9</v>
      </c>
      <c r="M472" s="580">
        <v>11</v>
      </c>
      <c r="N472" s="592">
        <v>12</v>
      </c>
      <c r="O472" s="618">
        <v>15</v>
      </c>
      <c r="P472" s="580">
        <v>17</v>
      </c>
      <c r="Q472" s="620">
        <v>18</v>
      </c>
      <c r="R472" s="620">
        <v>22</v>
      </c>
      <c r="S472" s="620"/>
      <c r="T472" s="620"/>
      <c r="U472" s="580">
        <v>0</v>
      </c>
      <c r="V472" s="580">
        <v>2</v>
      </c>
      <c r="W472" s="580">
        <v>5</v>
      </c>
      <c r="X472" s="593">
        <v>5</v>
      </c>
      <c r="Y472" s="593">
        <v>9</v>
      </c>
      <c r="Z472" s="580">
        <f t="shared" si="127"/>
        <v>11</v>
      </c>
      <c r="AA472" s="580">
        <f t="shared" si="127"/>
        <v>12</v>
      </c>
      <c r="AB472" s="575">
        <f t="shared" si="127"/>
        <v>15</v>
      </c>
      <c r="AC472" s="575">
        <f t="shared" si="127"/>
        <v>17</v>
      </c>
      <c r="AD472" s="575">
        <f t="shared" si="127"/>
        <v>18</v>
      </c>
      <c r="AE472" s="620">
        <f t="shared" si="127"/>
        <v>22</v>
      </c>
      <c r="AF472" s="864" t="s">
        <v>799</v>
      </c>
      <c r="AG472" s="835" t="str">
        <f>+C472</f>
        <v>12- BARRIOS UNIDOS</v>
      </c>
      <c r="AH472" s="865" t="s">
        <v>800</v>
      </c>
      <c r="AI472" s="865" t="s">
        <v>801</v>
      </c>
      <c r="AJ472" s="824" t="s">
        <v>751</v>
      </c>
      <c r="AK472" s="826" t="s">
        <v>490</v>
      </c>
      <c r="AL472" s="826" t="s">
        <v>765</v>
      </c>
      <c r="AM472" s="826" t="s">
        <v>752</v>
      </c>
      <c r="AN472" s="861">
        <v>153342</v>
      </c>
      <c r="AO472" s="820">
        <v>75950</v>
      </c>
      <c r="AP472" s="820">
        <v>77392</v>
      </c>
      <c r="AQ472" s="833" t="s">
        <v>492</v>
      </c>
      <c r="AR472" s="833" t="s">
        <v>492</v>
      </c>
      <c r="AS472" s="833" t="s">
        <v>492</v>
      </c>
      <c r="AT472" s="833" t="s">
        <v>492</v>
      </c>
      <c r="AU472" s="833" t="s">
        <v>492</v>
      </c>
      <c r="AV472" s="833" t="s">
        <v>492</v>
      </c>
      <c r="AW472" s="833" t="s">
        <v>492</v>
      </c>
      <c r="AX472" s="861">
        <v>153342</v>
      </c>
      <c r="AY472" s="862" t="s">
        <v>802</v>
      </c>
    </row>
    <row r="473" spans="1:51" ht="19.149999999999999" customHeight="1" x14ac:dyDescent="0.25">
      <c r="A473" s="828"/>
      <c r="B473" s="822"/>
      <c r="C473" s="838"/>
      <c r="D473" s="578" t="s">
        <v>349</v>
      </c>
      <c r="E473" s="583"/>
      <c r="F473" s="583"/>
      <c r="G473" s="583"/>
      <c r="H473" s="583"/>
      <c r="I473" s="580">
        <v>39110666.666666664</v>
      </c>
      <c r="J473" s="580">
        <v>48888333.333333336</v>
      </c>
      <c r="K473" s="580">
        <v>32592222.222222224</v>
      </c>
      <c r="L473" s="580">
        <v>43999500</v>
      </c>
      <c r="M473" s="580">
        <f>+M472*$Z$395/$Z$394</f>
        <v>49640461.538461536</v>
      </c>
      <c r="N473" s="582">
        <f>+N472*$AA$395/$AA$394</f>
        <v>64240885.714285716</v>
      </c>
      <c r="O473" s="582">
        <f>+O472*$AB$395/$AB$394</f>
        <v>67884000</v>
      </c>
      <c r="P473" s="580">
        <f>+P472*$AC$395/$AC$394</f>
        <v>62946981.81818182</v>
      </c>
      <c r="Q473" s="580">
        <f>+Q472*$AD$395/$AD$394</f>
        <v>56395938.461538464</v>
      </c>
      <c r="R473" s="580">
        <f>+R472*$AE$395/$AE$394</f>
        <v>70268048.172413796</v>
      </c>
      <c r="S473" s="580"/>
      <c r="T473" s="615"/>
      <c r="U473" s="580">
        <v>0</v>
      </c>
      <c r="V473" s="580">
        <v>39110666.666666664</v>
      </c>
      <c r="W473" s="580">
        <v>48888333.333333336</v>
      </c>
      <c r="X473" s="593">
        <v>32592222.222222224</v>
      </c>
      <c r="Y473" s="593">
        <v>43999500</v>
      </c>
      <c r="Z473" s="580">
        <f t="shared" si="127"/>
        <v>49640461.538461536</v>
      </c>
      <c r="AA473" s="580">
        <f t="shared" si="127"/>
        <v>64240885.714285716</v>
      </c>
      <c r="AB473" s="575">
        <f t="shared" si="127"/>
        <v>67884000</v>
      </c>
      <c r="AC473" s="575">
        <f t="shared" si="127"/>
        <v>62946981.81818182</v>
      </c>
      <c r="AD473" s="575">
        <f t="shared" si="127"/>
        <v>56395938.461538464</v>
      </c>
      <c r="AE473" s="580">
        <f t="shared" si="127"/>
        <v>70268048.172413796</v>
      </c>
      <c r="AF473" s="838"/>
      <c r="AG473" s="828"/>
      <c r="AH473" s="822"/>
      <c r="AI473" s="822"/>
      <c r="AJ473" s="822"/>
      <c r="AK473" s="806"/>
      <c r="AL473" s="806"/>
      <c r="AM473" s="806"/>
      <c r="AN473" s="806"/>
      <c r="AO473" s="806"/>
      <c r="AP473" s="806"/>
      <c r="AQ473" s="806"/>
      <c r="AR473" s="806"/>
      <c r="AS473" s="806"/>
      <c r="AT473" s="806"/>
      <c r="AU473" s="806"/>
      <c r="AV473" s="806"/>
      <c r="AW473" s="806"/>
      <c r="AX473" s="806"/>
      <c r="AY473" s="806"/>
    </row>
    <row r="474" spans="1:51" ht="28.9" customHeight="1" x14ac:dyDescent="0.25">
      <c r="A474" s="828"/>
      <c r="B474" s="822"/>
      <c r="C474" s="838"/>
      <c r="D474" s="579" t="s">
        <v>351</v>
      </c>
      <c r="E474" s="583"/>
      <c r="F474" s="583"/>
      <c r="G474" s="583"/>
      <c r="H474" s="583"/>
      <c r="I474" s="575"/>
      <c r="J474" s="575"/>
      <c r="K474" s="619"/>
      <c r="L474" s="575"/>
      <c r="M474" s="575"/>
      <c r="N474" s="573"/>
      <c r="O474" s="613"/>
      <c r="P474" s="620"/>
      <c r="Q474" s="615"/>
      <c r="R474" s="615"/>
      <c r="S474" s="615"/>
      <c r="T474" s="615"/>
      <c r="U474" s="580">
        <v>0</v>
      </c>
      <c r="V474" s="580">
        <v>0</v>
      </c>
      <c r="W474" s="580">
        <v>0</v>
      </c>
      <c r="X474" s="593">
        <v>0</v>
      </c>
      <c r="Y474" s="593">
        <v>0</v>
      </c>
      <c r="Z474" s="580">
        <f t="shared" si="127"/>
        <v>0</v>
      </c>
      <c r="AA474" s="580">
        <f t="shared" si="127"/>
        <v>0</v>
      </c>
      <c r="AB474" s="575">
        <f t="shared" si="127"/>
        <v>0</v>
      </c>
      <c r="AC474" s="575">
        <f t="shared" si="127"/>
        <v>0</v>
      </c>
      <c r="AD474" s="575">
        <f t="shared" si="127"/>
        <v>0</v>
      </c>
      <c r="AE474" s="615">
        <f t="shared" si="127"/>
        <v>0</v>
      </c>
      <c r="AF474" s="838"/>
      <c r="AG474" s="828"/>
      <c r="AH474" s="822"/>
      <c r="AI474" s="822"/>
      <c r="AJ474" s="822"/>
      <c r="AK474" s="806"/>
      <c r="AL474" s="806"/>
      <c r="AM474" s="806"/>
      <c r="AN474" s="806"/>
      <c r="AO474" s="806"/>
      <c r="AP474" s="806"/>
      <c r="AQ474" s="806"/>
      <c r="AR474" s="806"/>
      <c r="AS474" s="806"/>
      <c r="AT474" s="806"/>
      <c r="AU474" s="806"/>
      <c r="AV474" s="806"/>
      <c r="AW474" s="806"/>
      <c r="AX474" s="806"/>
      <c r="AY474" s="806"/>
    </row>
    <row r="475" spans="1:51" ht="28.9" customHeight="1" x14ac:dyDescent="0.25">
      <c r="A475" s="828"/>
      <c r="B475" s="822"/>
      <c r="C475" s="838"/>
      <c r="D475" s="578" t="s">
        <v>352</v>
      </c>
      <c r="E475" s="583"/>
      <c r="F475" s="583"/>
      <c r="G475" s="583"/>
      <c r="H475" s="583"/>
      <c r="I475" s="575">
        <v>5506490.2857142854</v>
      </c>
      <c r="J475" s="575">
        <v>5506490.2857142854</v>
      </c>
      <c r="K475" s="575">
        <v>2901193.5</v>
      </c>
      <c r="L475" s="575">
        <v>2901193.5</v>
      </c>
      <c r="M475" s="575">
        <v>2917277.1428571427</v>
      </c>
      <c r="N475" s="583">
        <v>2917277.1428571427</v>
      </c>
      <c r="O475" s="583">
        <v>2917277.1428571427</v>
      </c>
      <c r="P475" s="615">
        <v>3481981.5</v>
      </c>
      <c r="Q475" s="615">
        <v>3481981.5</v>
      </c>
      <c r="R475" s="615">
        <v>3481981.5</v>
      </c>
      <c r="S475" s="615"/>
      <c r="T475" s="615"/>
      <c r="U475" s="580">
        <v>0</v>
      </c>
      <c r="V475" s="580">
        <v>5506490.2857142854</v>
      </c>
      <c r="W475" s="580">
        <v>5506490.2857142854</v>
      </c>
      <c r="X475" s="593">
        <v>2901193.5</v>
      </c>
      <c r="Y475" s="593">
        <v>2901193.5</v>
      </c>
      <c r="Z475" s="580">
        <f t="shared" si="127"/>
        <v>2917277.1428571427</v>
      </c>
      <c r="AA475" s="580">
        <f t="shared" si="127"/>
        <v>2917277.1428571427</v>
      </c>
      <c r="AB475" s="575">
        <f t="shared" si="127"/>
        <v>2917277.1428571427</v>
      </c>
      <c r="AC475" s="575">
        <f t="shared" si="127"/>
        <v>3481981.5</v>
      </c>
      <c r="AD475" s="575">
        <f t="shared" si="127"/>
        <v>3481981.5</v>
      </c>
      <c r="AE475" s="615">
        <f t="shared" si="127"/>
        <v>3481981.5</v>
      </c>
      <c r="AF475" s="838"/>
      <c r="AG475" s="828"/>
      <c r="AH475" s="822"/>
      <c r="AI475" s="822"/>
      <c r="AJ475" s="822"/>
      <c r="AK475" s="806"/>
      <c r="AL475" s="806"/>
      <c r="AM475" s="806"/>
      <c r="AN475" s="806"/>
      <c r="AO475" s="806"/>
      <c r="AP475" s="806"/>
      <c r="AQ475" s="806"/>
      <c r="AR475" s="806"/>
      <c r="AS475" s="806"/>
      <c r="AT475" s="806"/>
      <c r="AU475" s="806"/>
      <c r="AV475" s="806"/>
      <c r="AW475" s="806"/>
      <c r="AX475" s="806"/>
      <c r="AY475" s="806"/>
    </row>
    <row r="476" spans="1:51" ht="28.9" customHeight="1" x14ac:dyDescent="0.25">
      <c r="A476" s="828"/>
      <c r="B476" s="822"/>
      <c r="C476" s="838"/>
      <c r="D476" s="579" t="s">
        <v>353</v>
      </c>
      <c r="E476" s="582"/>
      <c r="F476" s="582"/>
      <c r="G476" s="582"/>
      <c r="H476" s="582"/>
      <c r="I476" s="580">
        <v>2</v>
      </c>
      <c r="J476" s="580">
        <v>5</v>
      </c>
      <c r="K476" s="598">
        <v>5</v>
      </c>
      <c r="L476" s="580">
        <v>9</v>
      </c>
      <c r="M476" s="580">
        <v>11</v>
      </c>
      <c r="N476" s="582">
        <v>12</v>
      </c>
      <c r="O476" s="618">
        <v>15</v>
      </c>
      <c r="P476" s="580">
        <v>17</v>
      </c>
      <c r="Q476" s="620">
        <v>18</v>
      </c>
      <c r="R476" s="620">
        <v>22</v>
      </c>
      <c r="S476" s="620"/>
      <c r="T476" s="620"/>
      <c r="U476" s="580">
        <v>0</v>
      </c>
      <c r="V476" s="580">
        <v>2</v>
      </c>
      <c r="W476" s="580">
        <v>5</v>
      </c>
      <c r="X476" s="593">
        <v>5</v>
      </c>
      <c r="Y476" s="593">
        <v>9</v>
      </c>
      <c r="Z476" s="580">
        <f t="shared" si="127"/>
        <v>11</v>
      </c>
      <c r="AA476" s="580">
        <f t="shared" si="127"/>
        <v>12</v>
      </c>
      <c r="AB476" s="575">
        <f t="shared" si="127"/>
        <v>15</v>
      </c>
      <c r="AC476" s="575">
        <f t="shared" si="127"/>
        <v>17</v>
      </c>
      <c r="AD476" s="575">
        <f t="shared" si="127"/>
        <v>18</v>
      </c>
      <c r="AE476" s="620">
        <f t="shared" si="127"/>
        <v>22</v>
      </c>
      <c r="AF476" s="838"/>
      <c r="AG476" s="828"/>
      <c r="AH476" s="822"/>
      <c r="AI476" s="822"/>
      <c r="AJ476" s="822"/>
      <c r="AK476" s="806"/>
      <c r="AL476" s="806"/>
      <c r="AM476" s="806"/>
      <c r="AN476" s="806"/>
      <c r="AO476" s="806"/>
      <c r="AP476" s="806"/>
      <c r="AQ476" s="806"/>
      <c r="AR476" s="806"/>
      <c r="AS476" s="806"/>
      <c r="AT476" s="806"/>
      <c r="AU476" s="806"/>
      <c r="AV476" s="806"/>
      <c r="AW476" s="806"/>
      <c r="AX476" s="806"/>
      <c r="AY476" s="806"/>
    </row>
    <row r="477" spans="1:51" ht="28.9" customHeight="1" x14ac:dyDescent="0.25">
      <c r="A477" s="828"/>
      <c r="B477" s="822"/>
      <c r="C477" s="839"/>
      <c r="D477" s="578" t="s">
        <v>354</v>
      </c>
      <c r="E477" s="597"/>
      <c r="F477" s="597"/>
      <c r="G477" s="597"/>
      <c r="H477" s="583"/>
      <c r="I477" s="575">
        <v>44617156.952380948</v>
      </c>
      <c r="J477" s="575">
        <v>54394823.619047619</v>
      </c>
      <c r="K477" s="575">
        <v>35493415.722222224</v>
      </c>
      <c r="L477" s="596">
        <v>46900693.5</v>
      </c>
      <c r="M477" s="596">
        <f t="shared" ref="M477:R477" si="130">+M473+M475</f>
        <v>52557738.681318678</v>
      </c>
      <c r="N477" s="597">
        <f t="shared" si="130"/>
        <v>67158162.857142866</v>
      </c>
      <c r="O477" s="597">
        <f t="shared" si="130"/>
        <v>70801277.142857149</v>
      </c>
      <c r="P477" s="596">
        <f t="shared" si="130"/>
        <v>66428963.31818182</v>
      </c>
      <c r="Q477" s="596">
        <f t="shared" si="130"/>
        <v>59877919.961538464</v>
      </c>
      <c r="R477" s="596">
        <f t="shared" si="130"/>
        <v>73750029.672413796</v>
      </c>
      <c r="S477" s="596"/>
      <c r="T477" s="620"/>
      <c r="U477" s="580">
        <v>0</v>
      </c>
      <c r="V477" s="580">
        <v>44617156.952380948</v>
      </c>
      <c r="W477" s="580">
        <v>54394823.619047619</v>
      </c>
      <c r="X477" s="593">
        <v>35493415.722222224</v>
      </c>
      <c r="Y477" s="593">
        <v>46900693.5</v>
      </c>
      <c r="Z477" s="580">
        <f t="shared" si="127"/>
        <v>52557738.681318678</v>
      </c>
      <c r="AA477" s="580">
        <f t="shared" si="127"/>
        <v>67158162.857142866</v>
      </c>
      <c r="AB477" s="575">
        <f t="shared" si="127"/>
        <v>70801277.142857149</v>
      </c>
      <c r="AC477" s="575">
        <f t="shared" si="127"/>
        <v>66428963.31818182</v>
      </c>
      <c r="AD477" s="575">
        <f t="shared" si="127"/>
        <v>59877919.961538464</v>
      </c>
      <c r="AE477" s="596">
        <f t="shared" si="127"/>
        <v>73750029.672413796</v>
      </c>
      <c r="AF477" s="839"/>
      <c r="AG477" s="829"/>
      <c r="AH477" s="823"/>
      <c r="AI477" s="823"/>
      <c r="AJ477" s="823"/>
      <c r="AK477" s="807"/>
      <c r="AL477" s="807"/>
      <c r="AM477" s="807"/>
      <c r="AN477" s="807"/>
      <c r="AO477" s="807"/>
      <c r="AP477" s="807"/>
      <c r="AQ477" s="807"/>
      <c r="AR477" s="807"/>
      <c r="AS477" s="807"/>
      <c r="AT477" s="807"/>
      <c r="AU477" s="807"/>
      <c r="AV477" s="807"/>
      <c r="AW477" s="807"/>
      <c r="AX477" s="807"/>
      <c r="AY477" s="807"/>
    </row>
    <row r="478" spans="1:51" ht="19.149999999999999" customHeight="1" x14ac:dyDescent="0.25">
      <c r="A478" s="828"/>
      <c r="B478" s="822"/>
      <c r="C478" s="824" t="s">
        <v>653</v>
      </c>
      <c r="D478" s="572" t="s">
        <v>345</v>
      </c>
      <c r="E478" s="582"/>
      <c r="F478" s="582"/>
      <c r="G478" s="582"/>
      <c r="H478" s="582"/>
      <c r="I478" s="580">
        <v>1</v>
      </c>
      <c r="J478" s="580">
        <v>3</v>
      </c>
      <c r="K478" s="598">
        <v>4</v>
      </c>
      <c r="L478" s="580">
        <v>4</v>
      </c>
      <c r="M478" s="580">
        <v>4</v>
      </c>
      <c r="N478" s="592">
        <v>4</v>
      </c>
      <c r="O478" s="618">
        <v>6</v>
      </c>
      <c r="P478" s="580">
        <v>7</v>
      </c>
      <c r="Q478" s="620">
        <v>9</v>
      </c>
      <c r="R478" s="620">
        <v>10</v>
      </c>
      <c r="S478" s="620"/>
      <c r="T478" s="620"/>
      <c r="U478" s="580">
        <v>0</v>
      </c>
      <c r="V478" s="580">
        <v>1</v>
      </c>
      <c r="W478" s="580">
        <v>3</v>
      </c>
      <c r="X478" s="593">
        <v>4</v>
      </c>
      <c r="Y478" s="593">
        <v>4</v>
      </c>
      <c r="Z478" s="580">
        <f t="shared" si="127"/>
        <v>4</v>
      </c>
      <c r="AA478" s="580">
        <f t="shared" si="127"/>
        <v>4</v>
      </c>
      <c r="AB478" s="575">
        <f t="shared" si="127"/>
        <v>6</v>
      </c>
      <c r="AC478" s="575">
        <f t="shared" si="127"/>
        <v>7</v>
      </c>
      <c r="AD478" s="575">
        <f t="shared" si="127"/>
        <v>9</v>
      </c>
      <c r="AE478" s="620">
        <f t="shared" si="127"/>
        <v>10</v>
      </c>
      <c r="AF478" s="864" t="s">
        <v>803</v>
      </c>
      <c r="AG478" s="835" t="str">
        <f>+C478</f>
        <v>13- TEUSAQUILLO</v>
      </c>
      <c r="AH478" s="865" t="s">
        <v>804</v>
      </c>
      <c r="AI478" s="865" t="s">
        <v>805</v>
      </c>
      <c r="AJ478" s="824" t="s">
        <v>751</v>
      </c>
      <c r="AK478" s="826" t="s">
        <v>490</v>
      </c>
      <c r="AL478" s="826" t="s">
        <v>765</v>
      </c>
      <c r="AM478" s="826" t="s">
        <v>752</v>
      </c>
      <c r="AN478" s="861">
        <v>166428</v>
      </c>
      <c r="AO478" s="820">
        <v>69653</v>
      </c>
      <c r="AP478" s="820">
        <v>96775</v>
      </c>
      <c r="AQ478" s="833" t="s">
        <v>492</v>
      </c>
      <c r="AR478" s="833" t="s">
        <v>492</v>
      </c>
      <c r="AS478" s="833" t="s">
        <v>492</v>
      </c>
      <c r="AT478" s="833" t="s">
        <v>492</v>
      </c>
      <c r="AU478" s="833" t="s">
        <v>492</v>
      </c>
      <c r="AV478" s="833" t="s">
        <v>492</v>
      </c>
      <c r="AW478" s="833" t="s">
        <v>492</v>
      </c>
      <c r="AX478" s="861">
        <v>166428</v>
      </c>
      <c r="AY478" s="862" t="s">
        <v>806</v>
      </c>
    </row>
    <row r="479" spans="1:51" ht="19.149999999999999" customHeight="1" x14ac:dyDescent="0.25">
      <c r="A479" s="828"/>
      <c r="B479" s="822"/>
      <c r="C479" s="822"/>
      <c r="D479" s="578" t="s">
        <v>349</v>
      </c>
      <c r="E479" s="583"/>
      <c r="F479" s="583"/>
      <c r="G479" s="583"/>
      <c r="H479" s="583"/>
      <c r="I479" s="580">
        <v>19555333.333333332</v>
      </c>
      <c r="J479" s="580">
        <v>29333000</v>
      </c>
      <c r="K479" s="580">
        <v>26073777.777777776</v>
      </c>
      <c r="L479" s="580">
        <v>19555333.333333332</v>
      </c>
      <c r="M479" s="580">
        <f>+M478*$Z$395/$Z$394</f>
        <v>18051076.923076924</v>
      </c>
      <c r="N479" s="582">
        <f>+N478*$AA$395/$AA$394</f>
        <v>21413628.571428571</v>
      </c>
      <c r="O479" s="582">
        <f>+O478*$AB$395/$AB$394</f>
        <v>27153600</v>
      </c>
      <c r="P479" s="580">
        <f>+P478*$AC$395/$AC$394</f>
        <v>25919345.454545453</v>
      </c>
      <c r="Q479" s="580">
        <f>+Q478*$AD$395/$AD$394</f>
        <v>28197969.230769232</v>
      </c>
      <c r="R479" s="580">
        <f>+R478*$AE$395/$AE$394</f>
        <v>31940021.896551725</v>
      </c>
      <c r="S479" s="580"/>
      <c r="T479" s="615"/>
      <c r="U479" s="580">
        <v>0</v>
      </c>
      <c r="V479" s="580">
        <v>19555333.333333332</v>
      </c>
      <c r="W479" s="580">
        <v>29333000</v>
      </c>
      <c r="X479" s="593">
        <v>26073777.777777776</v>
      </c>
      <c r="Y479" s="593">
        <v>19555333.333333332</v>
      </c>
      <c r="Z479" s="580">
        <f t="shared" si="127"/>
        <v>18051076.923076924</v>
      </c>
      <c r="AA479" s="580">
        <f t="shared" si="127"/>
        <v>21413628.571428571</v>
      </c>
      <c r="AB479" s="575">
        <f t="shared" si="127"/>
        <v>27153600</v>
      </c>
      <c r="AC479" s="575">
        <f t="shared" si="127"/>
        <v>25919345.454545453</v>
      </c>
      <c r="AD479" s="575">
        <f t="shared" si="127"/>
        <v>28197969.230769232</v>
      </c>
      <c r="AE479" s="580">
        <f t="shared" si="127"/>
        <v>31940021.896551725</v>
      </c>
      <c r="AF479" s="838"/>
      <c r="AG479" s="828"/>
      <c r="AH479" s="822"/>
      <c r="AI479" s="822"/>
      <c r="AJ479" s="822"/>
      <c r="AK479" s="806"/>
      <c r="AL479" s="806"/>
      <c r="AM479" s="806"/>
      <c r="AN479" s="806"/>
      <c r="AO479" s="806"/>
      <c r="AP479" s="806"/>
      <c r="AQ479" s="806"/>
      <c r="AR479" s="806"/>
      <c r="AS479" s="806"/>
      <c r="AT479" s="806"/>
      <c r="AU479" s="806"/>
      <c r="AV479" s="806"/>
      <c r="AW479" s="806"/>
      <c r="AX479" s="806"/>
      <c r="AY479" s="806"/>
    </row>
    <row r="480" spans="1:51" ht="28.9" customHeight="1" x14ac:dyDescent="0.25">
      <c r="A480" s="828"/>
      <c r="B480" s="822"/>
      <c r="C480" s="822"/>
      <c r="D480" s="579" t="s">
        <v>351</v>
      </c>
      <c r="E480" s="583"/>
      <c r="F480" s="583"/>
      <c r="G480" s="583"/>
      <c r="H480" s="583"/>
      <c r="I480" s="575"/>
      <c r="J480" s="575"/>
      <c r="K480" s="619"/>
      <c r="L480" s="575"/>
      <c r="M480" s="575"/>
      <c r="N480" s="573"/>
      <c r="O480" s="613"/>
      <c r="P480" s="620"/>
      <c r="Q480" s="615"/>
      <c r="R480" s="615"/>
      <c r="S480" s="615"/>
      <c r="T480" s="615"/>
      <c r="U480" s="580">
        <v>0</v>
      </c>
      <c r="V480" s="580">
        <v>0</v>
      </c>
      <c r="W480" s="580">
        <v>0</v>
      </c>
      <c r="X480" s="593">
        <v>0</v>
      </c>
      <c r="Y480" s="593">
        <v>0</v>
      </c>
      <c r="Z480" s="580">
        <f t="shared" ref="Z480:AE495" si="131">+M480</f>
        <v>0</v>
      </c>
      <c r="AA480" s="580">
        <f t="shared" si="131"/>
        <v>0</v>
      </c>
      <c r="AB480" s="575">
        <f t="shared" si="131"/>
        <v>0</v>
      </c>
      <c r="AC480" s="575">
        <f t="shared" si="131"/>
        <v>0</v>
      </c>
      <c r="AD480" s="575">
        <f t="shared" si="131"/>
        <v>0</v>
      </c>
      <c r="AE480" s="615">
        <f t="shared" si="131"/>
        <v>0</v>
      </c>
      <c r="AF480" s="838"/>
      <c r="AG480" s="828"/>
      <c r="AH480" s="822"/>
      <c r="AI480" s="822"/>
      <c r="AJ480" s="822"/>
      <c r="AK480" s="806"/>
      <c r="AL480" s="806"/>
      <c r="AM480" s="806"/>
      <c r="AN480" s="806"/>
      <c r="AO480" s="806"/>
      <c r="AP480" s="806"/>
      <c r="AQ480" s="806"/>
      <c r="AR480" s="806"/>
      <c r="AS480" s="806"/>
      <c r="AT480" s="806"/>
      <c r="AU480" s="806"/>
      <c r="AV480" s="806"/>
      <c r="AW480" s="806"/>
      <c r="AX480" s="806"/>
      <c r="AY480" s="806"/>
    </row>
    <row r="481" spans="1:51" ht="28.9" customHeight="1" x14ac:dyDescent="0.25">
      <c r="A481" s="828"/>
      <c r="B481" s="822"/>
      <c r="C481" s="822"/>
      <c r="D481" s="578" t="s">
        <v>352</v>
      </c>
      <c r="E481" s="583"/>
      <c r="F481" s="583"/>
      <c r="G481" s="583"/>
      <c r="H481" s="583"/>
      <c r="I481" s="575">
        <v>5506490.2857142854</v>
      </c>
      <c r="J481" s="575">
        <v>5506490.2857142854</v>
      </c>
      <c r="K481" s="575">
        <v>2901193.5</v>
      </c>
      <c r="L481" s="575">
        <v>2901193.5</v>
      </c>
      <c r="M481" s="575">
        <v>2917277.1428571427</v>
      </c>
      <c r="N481" s="583">
        <v>2917277.1428571427</v>
      </c>
      <c r="O481" s="583">
        <v>2917277.1428571427</v>
      </c>
      <c r="P481" s="615">
        <v>3481981.5</v>
      </c>
      <c r="Q481" s="615">
        <v>3481981.5</v>
      </c>
      <c r="R481" s="615">
        <v>3481981.5</v>
      </c>
      <c r="S481" s="615"/>
      <c r="T481" s="615"/>
      <c r="U481" s="580">
        <v>0</v>
      </c>
      <c r="V481" s="580">
        <v>5506490.2857142854</v>
      </c>
      <c r="W481" s="580">
        <v>5506490.2857142854</v>
      </c>
      <c r="X481" s="593">
        <v>2901193.5</v>
      </c>
      <c r="Y481" s="593">
        <v>2901193.5</v>
      </c>
      <c r="Z481" s="580">
        <f t="shared" si="131"/>
        <v>2917277.1428571427</v>
      </c>
      <c r="AA481" s="580">
        <f t="shared" si="131"/>
        <v>2917277.1428571427</v>
      </c>
      <c r="AB481" s="575">
        <f t="shared" si="131"/>
        <v>2917277.1428571427</v>
      </c>
      <c r="AC481" s="575">
        <f t="shared" si="131"/>
        <v>3481981.5</v>
      </c>
      <c r="AD481" s="575">
        <f t="shared" si="131"/>
        <v>3481981.5</v>
      </c>
      <c r="AE481" s="615">
        <f t="shared" si="131"/>
        <v>3481981.5</v>
      </c>
      <c r="AF481" s="838"/>
      <c r="AG481" s="828"/>
      <c r="AH481" s="822"/>
      <c r="AI481" s="822"/>
      <c r="AJ481" s="822"/>
      <c r="AK481" s="806"/>
      <c r="AL481" s="806"/>
      <c r="AM481" s="806"/>
      <c r="AN481" s="806"/>
      <c r="AO481" s="806"/>
      <c r="AP481" s="806"/>
      <c r="AQ481" s="806"/>
      <c r="AR481" s="806"/>
      <c r="AS481" s="806"/>
      <c r="AT481" s="806"/>
      <c r="AU481" s="806"/>
      <c r="AV481" s="806"/>
      <c r="AW481" s="806"/>
      <c r="AX481" s="806"/>
      <c r="AY481" s="806"/>
    </row>
    <row r="482" spans="1:51" ht="28.9" customHeight="1" x14ac:dyDescent="0.25">
      <c r="A482" s="828"/>
      <c r="B482" s="822"/>
      <c r="C482" s="822"/>
      <c r="D482" s="579" t="s">
        <v>353</v>
      </c>
      <c r="E482" s="582"/>
      <c r="F482" s="582"/>
      <c r="G482" s="582"/>
      <c r="H482" s="582"/>
      <c r="I482" s="580">
        <v>1</v>
      </c>
      <c r="J482" s="580">
        <v>3</v>
      </c>
      <c r="K482" s="598">
        <v>4</v>
      </c>
      <c r="L482" s="580">
        <v>4</v>
      </c>
      <c r="M482" s="580">
        <v>4</v>
      </c>
      <c r="N482" s="582">
        <v>4</v>
      </c>
      <c r="O482" s="618">
        <v>6</v>
      </c>
      <c r="P482" s="580">
        <v>7</v>
      </c>
      <c r="Q482" s="620">
        <v>9</v>
      </c>
      <c r="R482" s="620">
        <v>10</v>
      </c>
      <c r="S482" s="620"/>
      <c r="T482" s="620"/>
      <c r="U482" s="580">
        <v>0</v>
      </c>
      <c r="V482" s="580">
        <v>1</v>
      </c>
      <c r="W482" s="580">
        <v>3</v>
      </c>
      <c r="X482" s="593">
        <v>4</v>
      </c>
      <c r="Y482" s="593">
        <v>4</v>
      </c>
      <c r="Z482" s="580">
        <f t="shared" si="131"/>
        <v>4</v>
      </c>
      <c r="AA482" s="580">
        <f t="shared" si="131"/>
        <v>4</v>
      </c>
      <c r="AB482" s="575">
        <f t="shared" si="131"/>
        <v>6</v>
      </c>
      <c r="AC482" s="575">
        <f t="shared" si="131"/>
        <v>7</v>
      </c>
      <c r="AD482" s="575">
        <f t="shared" si="131"/>
        <v>9</v>
      </c>
      <c r="AE482" s="620">
        <f t="shared" si="131"/>
        <v>10</v>
      </c>
      <c r="AF482" s="838"/>
      <c r="AG482" s="828"/>
      <c r="AH482" s="822"/>
      <c r="AI482" s="822"/>
      <c r="AJ482" s="822"/>
      <c r="AK482" s="806"/>
      <c r="AL482" s="806"/>
      <c r="AM482" s="806"/>
      <c r="AN482" s="806"/>
      <c r="AO482" s="806"/>
      <c r="AP482" s="806"/>
      <c r="AQ482" s="806"/>
      <c r="AR482" s="806"/>
      <c r="AS482" s="806"/>
      <c r="AT482" s="806"/>
      <c r="AU482" s="806"/>
      <c r="AV482" s="806"/>
      <c r="AW482" s="806"/>
      <c r="AX482" s="806"/>
      <c r="AY482" s="806"/>
    </row>
    <row r="483" spans="1:51" ht="28.9" customHeight="1" x14ac:dyDescent="0.25">
      <c r="A483" s="828"/>
      <c r="B483" s="822"/>
      <c r="C483" s="823"/>
      <c r="D483" s="578" t="s">
        <v>354</v>
      </c>
      <c r="E483" s="597"/>
      <c r="F483" s="597"/>
      <c r="G483" s="583"/>
      <c r="H483" s="583"/>
      <c r="I483" s="575">
        <v>25061823.619047619</v>
      </c>
      <c r="J483" s="575">
        <v>34839490.285714284</v>
      </c>
      <c r="K483" s="575">
        <v>28974971.277777776</v>
      </c>
      <c r="L483" s="596">
        <v>22456526.833333332</v>
      </c>
      <c r="M483" s="596">
        <f t="shared" ref="M483:R483" si="132">+M479+M481</f>
        <v>20968354.065934066</v>
      </c>
      <c r="N483" s="597">
        <f t="shared" si="132"/>
        <v>24330905.714285713</v>
      </c>
      <c r="O483" s="597">
        <f t="shared" si="132"/>
        <v>30070877.142857142</v>
      </c>
      <c r="P483" s="596">
        <f t="shared" si="132"/>
        <v>29401326.954545453</v>
      </c>
      <c r="Q483" s="596">
        <f t="shared" si="132"/>
        <v>31679950.730769232</v>
      </c>
      <c r="R483" s="596">
        <f t="shared" si="132"/>
        <v>35422003.396551728</v>
      </c>
      <c r="S483" s="596"/>
      <c r="T483" s="620"/>
      <c r="U483" s="580">
        <v>0</v>
      </c>
      <c r="V483" s="580">
        <v>25061823.619047619</v>
      </c>
      <c r="W483" s="580">
        <v>34839490.285714284</v>
      </c>
      <c r="X483" s="593">
        <v>28974971.277777776</v>
      </c>
      <c r="Y483" s="593">
        <v>22456526.833333332</v>
      </c>
      <c r="Z483" s="580">
        <f t="shared" si="131"/>
        <v>20968354.065934066</v>
      </c>
      <c r="AA483" s="580">
        <f t="shared" si="131"/>
        <v>24330905.714285713</v>
      </c>
      <c r="AB483" s="575">
        <f t="shared" si="131"/>
        <v>30070877.142857142</v>
      </c>
      <c r="AC483" s="575">
        <f t="shared" si="131"/>
        <v>29401326.954545453</v>
      </c>
      <c r="AD483" s="575">
        <f t="shared" si="131"/>
        <v>31679950.730769232</v>
      </c>
      <c r="AE483" s="596">
        <f t="shared" si="131"/>
        <v>35422003.396551728</v>
      </c>
      <c r="AF483" s="839"/>
      <c r="AG483" s="829"/>
      <c r="AH483" s="823"/>
      <c r="AI483" s="823"/>
      <c r="AJ483" s="823"/>
      <c r="AK483" s="807"/>
      <c r="AL483" s="807"/>
      <c r="AM483" s="807"/>
      <c r="AN483" s="807"/>
      <c r="AO483" s="807"/>
      <c r="AP483" s="807"/>
      <c r="AQ483" s="807"/>
      <c r="AR483" s="807"/>
      <c r="AS483" s="807"/>
      <c r="AT483" s="807"/>
      <c r="AU483" s="807"/>
      <c r="AV483" s="807"/>
      <c r="AW483" s="807"/>
      <c r="AX483" s="807"/>
      <c r="AY483" s="807"/>
    </row>
    <row r="484" spans="1:51" ht="19.149999999999999" customHeight="1" x14ac:dyDescent="0.25">
      <c r="A484" s="828"/>
      <c r="B484" s="822"/>
      <c r="C484" s="837" t="s">
        <v>807</v>
      </c>
      <c r="D484" s="572" t="s">
        <v>345</v>
      </c>
      <c r="E484" s="582"/>
      <c r="F484" s="582"/>
      <c r="G484" s="582"/>
      <c r="H484" s="582"/>
      <c r="I484" s="580"/>
      <c r="J484" s="580">
        <v>1</v>
      </c>
      <c r="K484" s="598">
        <v>4</v>
      </c>
      <c r="L484" s="580">
        <v>4</v>
      </c>
      <c r="M484" s="580">
        <v>4</v>
      </c>
      <c r="N484" s="592">
        <v>4</v>
      </c>
      <c r="O484" s="618">
        <v>5</v>
      </c>
      <c r="P484" s="580">
        <v>5</v>
      </c>
      <c r="Q484" s="620">
        <v>5</v>
      </c>
      <c r="R484" s="620">
        <v>8</v>
      </c>
      <c r="S484" s="620"/>
      <c r="T484" s="620"/>
      <c r="U484" s="580">
        <v>0</v>
      </c>
      <c r="V484" s="580">
        <v>0</v>
      </c>
      <c r="W484" s="580">
        <v>1</v>
      </c>
      <c r="X484" s="593">
        <v>4</v>
      </c>
      <c r="Y484" s="593">
        <v>4</v>
      </c>
      <c r="Z484" s="580">
        <f t="shared" si="131"/>
        <v>4</v>
      </c>
      <c r="AA484" s="580">
        <f t="shared" si="131"/>
        <v>4</v>
      </c>
      <c r="AB484" s="575">
        <f t="shared" si="131"/>
        <v>5</v>
      </c>
      <c r="AC484" s="575">
        <f t="shared" si="131"/>
        <v>5</v>
      </c>
      <c r="AD484" s="575">
        <f t="shared" si="131"/>
        <v>5</v>
      </c>
      <c r="AE484" s="620">
        <f t="shared" si="131"/>
        <v>8</v>
      </c>
      <c r="AF484" s="864" t="s">
        <v>808</v>
      </c>
      <c r="AG484" s="835" t="str">
        <f>+C484</f>
        <v>14- LOS MÁRTIRES</v>
      </c>
      <c r="AH484" s="865" t="s">
        <v>809</v>
      </c>
      <c r="AI484" s="865" t="s">
        <v>810</v>
      </c>
      <c r="AJ484" s="824" t="s">
        <v>751</v>
      </c>
      <c r="AK484" s="826" t="s">
        <v>490</v>
      </c>
      <c r="AL484" s="826" t="s">
        <v>178</v>
      </c>
      <c r="AM484" s="826" t="s">
        <v>752</v>
      </c>
      <c r="AN484" s="861">
        <v>82848</v>
      </c>
      <c r="AO484" s="820">
        <v>34462</v>
      </c>
      <c r="AP484" s="820">
        <v>48386</v>
      </c>
      <c r="AQ484" s="833" t="s">
        <v>492</v>
      </c>
      <c r="AR484" s="833" t="s">
        <v>492</v>
      </c>
      <c r="AS484" s="833" t="s">
        <v>492</v>
      </c>
      <c r="AT484" s="833" t="s">
        <v>492</v>
      </c>
      <c r="AU484" s="833" t="s">
        <v>492</v>
      </c>
      <c r="AV484" s="833" t="s">
        <v>492</v>
      </c>
      <c r="AW484" s="833" t="s">
        <v>492</v>
      </c>
      <c r="AX484" s="820">
        <v>82848</v>
      </c>
      <c r="AY484" s="862" t="s">
        <v>811</v>
      </c>
    </row>
    <row r="485" spans="1:51" ht="19.149999999999999" customHeight="1" x14ac:dyDescent="0.25">
      <c r="A485" s="828"/>
      <c r="B485" s="822"/>
      <c r="C485" s="838"/>
      <c r="D485" s="578" t="s">
        <v>349</v>
      </c>
      <c r="E485" s="583"/>
      <c r="F485" s="583"/>
      <c r="G485" s="583"/>
      <c r="H485" s="583"/>
      <c r="I485" s="575"/>
      <c r="J485" s="580">
        <v>9777666.666666666</v>
      </c>
      <c r="K485" s="580">
        <v>26073777.777777776</v>
      </c>
      <c r="L485" s="580">
        <v>19555333.333333332</v>
      </c>
      <c r="M485" s="580">
        <f>+M484*$Z$395/$Z$394</f>
        <v>18051076.923076924</v>
      </c>
      <c r="N485" s="582">
        <f>+N484*$AA$395/$AA$394</f>
        <v>21413628.571428571</v>
      </c>
      <c r="O485" s="582">
        <f>+O484*$AB$395/$AB$394</f>
        <v>22628000</v>
      </c>
      <c r="P485" s="580">
        <f>+P484*$AC$395/$AC$394</f>
        <v>18513818.181818184</v>
      </c>
      <c r="Q485" s="580">
        <f>+Q484*$AD$395/$AD$394</f>
        <v>15665538.461538462</v>
      </c>
      <c r="R485" s="580">
        <f>+R484*$AE$395/$AE$394</f>
        <v>25552017.517241381</v>
      </c>
      <c r="S485" s="580"/>
      <c r="T485" s="615"/>
      <c r="U485" s="580">
        <v>0</v>
      </c>
      <c r="V485" s="580">
        <v>0</v>
      </c>
      <c r="W485" s="580">
        <v>9777666.666666666</v>
      </c>
      <c r="X485" s="593">
        <v>26073777.777777776</v>
      </c>
      <c r="Y485" s="593">
        <v>19555333.333333332</v>
      </c>
      <c r="Z485" s="580">
        <f t="shared" si="131"/>
        <v>18051076.923076924</v>
      </c>
      <c r="AA485" s="580">
        <f t="shared" si="131"/>
        <v>21413628.571428571</v>
      </c>
      <c r="AB485" s="575">
        <f t="shared" si="131"/>
        <v>22628000</v>
      </c>
      <c r="AC485" s="575">
        <f t="shared" si="131"/>
        <v>18513818.181818184</v>
      </c>
      <c r="AD485" s="575">
        <f t="shared" si="131"/>
        <v>15665538.461538462</v>
      </c>
      <c r="AE485" s="580">
        <f t="shared" si="131"/>
        <v>25552017.517241381</v>
      </c>
      <c r="AF485" s="838"/>
      <c r="AG485" s="828"/>
      <c r="AH485" s="822"/>
      <c r="AI485" s="822"/>
      <c r="AJ485" s="822"/>
      <c r="AK485" s="806"/>
      <c r="AL485" s="806"/>
      <c r="AM485" s="806"/>
      <c r="AN485" s="806"/>
      <c r="AO485" s="806"/>
      <c r="AP485" s="806"/>
      <c r="AQ485" s="806"/>
      <c r="AR485" s="806"/>
      <c r="AS485" s="806"/>
      <c r="AT485" s="806"/>
      <c r="AU485" s="806"/>
      <c r="AV485" s="806"/>
      <c r="AW485" s="806"/>
      <c r="AX485" s="806"/>
      <c r="AY485" s="806"/>
    </row>
    <row r="486" spans="1:51" ht="28.9" customHeight="1" x14ac:dyDescent="0.25">
      <c r="A486" s="828"/>
      <c r="B486" s="822"/>
      <c r="C486" s="838"/>
      <c r="D486" s="579" t="s">
        <v>351</v>
      </c>
      <c r="E486" s="583"/>
      <c r="F486" s="583"/>
      <c r="G486" s="583"/>
      <c r="H486" s="583"/>
      <c r="I486" s="575"/>
      <c r="J486" s="575"/>
      <c r="K486" s="619"/>
      <c r="L486" s="575"/>
      <c r="M486" s="575"/>
      <c r="N486" s="573"/>
      <c r="O486" s="613"/>
      <c r="P486" s="620"/>
      <c r="Q486" s="615"/>
      <c r="R486" s="615"/>
      <c r="S486" s="615"/>
      <c r="T486" s="615"/>
      <c r="U486" s="580">
        <v>0</v>
      </c>
      <c r="V486" s="580">
        <v>0</v>
      </c>
      <c r="W486" s="580">
        <v>0</v>
      </c>
      <c r="X486" s="593">
        <v>0</v>
      </c>
      <c r="Y486" s="593">
        <v>0</v>
      </c>
      <c r="Z486" s="580">
        <f t="shared" si="131"/>
        <v>0</v>
      </c>
      <c r="AA486" s="580">
        <f t="shared" si="131"/>
        <v>0</v>
      </c>
      <c r="AB486" s="575">
        <f t="shared" si="131"/>
        <v>0</v>
      </c>
      <c r="AC486" s="575">
        <f t="shared" si="131"/>
        <v>0</v>
      </c>
      <c r="AD486" s="575">
        <f t="shared" si="131"/>
        <v>0</v>
      </c>
      <c r="AE486" s="615">
        <f t="shared" si="131"/>
        <v>0</v>
      </c>
      <c r="AF486" s="838"/>
      <c r="AG486" s="828"/>
      <c r="AH486" s="822"/>
      <c r="AI486" s="822"/>
      <c r="AJ486" s="822"/>
      <c r="AK486" s="806"/>
      <c r="AL486" s="806"/>
      <c r="AM486" s="806"/>
      <c r="AN486" s="806"/>
      <c r="AO486" s="806"/>
      <c r="AP486" s="806"/>
      <c r="AQ486" s="806"/>
      <c r="AR486" s="806"/>
      <c r="AS486" s="806"/>
      <c r="AT486" s="806"/>
      <c r="AU486" s="806"/>
      <c r="AV486" s="806"/>
      <c r="AW486" s="806"/>
      <c r="AX486" s="806"/>
      <c r="AY486" s="806"/>
    </row>
    <row r="487" spans="1:51" ht="28.9" customHeight="1" x14ac:dyDescent="0.25">
      <c r="A487" s="828"/>
      <c r="B487" s="822"/>
      <c r="C487" s="838"/>
      <c r="D487" s="578" t="s">
        <v>352</v>
      </c>
      <c r="E487" s="583"/>
      <c r="F487" s="583"/>
      <c r="G487" s="583"/>
      <c r="H487" s="583"/>
      <c r="I487" s="575"/>
      <c r="J487" s="575"/>
      <c r="K487" s="575">
        <v>2901193.5</v>
      </c>
      <c r="L487" s="575">
        <v>2901193.5</v>
      </c>
      <c r="M487" s="575">
        <v>2917277.1428571427</v>
      </c>
      <c r="N487" s="583">
        <v>2917277.1428571427</v>
      </c>
      <c r="O487" s="583">
        <v>2917277.1428571427</v>
      </c>
      <c r="P487" s="615">
        <v>3481981.5</v>
      </c>
      <c r="Q487" s="615">
        <v>3481981.5</v>
      </c>
      <c r="R487" s="615">
        <v>3481981.5</v>
      </c>
      <c r="S487" s="615"/>
      <c r="T487" s="615"/>
      <c r="U487" s="580">
        <v>0</v>
      </c>
      <c r="V487" s="580">
        <v>0</v>
      </c>
      <c r="W487" s="580">
        <v>0</v>
      </c>
      <c r="X487" s="593">
        <v>2901193.5</v>
      </c>
      <c r="Y487" s="593">
        <v>2901193.5</v>
      </c>
      <c r="Z487" s="580">
        <f t="shared" si="131"/>
        <v>2917277.1428571427</v>
      </c>
      <c r="AA487" s="580">
        <f t="shared" si="131"/>
        <v>2917277.1428571427</v>
      </c>
      <c r="AB487" s="575">
        <f t="shared" si="131"/>
        <v>2917277.1428571427</v>
      </c>
      <c r="AC487" s="575">
        <f t="shared" si="131"/>
        <v>3481981.5</v>
      </c>
      <c r="AD487" s="575">
        <f t="shared" si="131"/>
        <v>3481981.5</v>
      </c>
      <c r="AE487" s="615">
        <f t="shared" si="131"/>
        <v>3481981.5</v>
      </c>
      <c r="AF487" s="838"/>
      <c r="AG487" s="828"/>
      <c r="AH487" s="822"/>
      <c r="AI487" s="822"/>
      <c r="AJ487" s="822"/>
      <c r="AK487" s="806"/>
      <c r="AL487" s="806"/>
      <c r="AM487" s="806"/>
      <c r="AN487" s="806"/>
      <c r="AO487" s="806"/>
      <c r="AP487" s="806"/>
      <c r="AQ487" s="806"/>
      <c r="AR487" s="806"/>
      <c r="AS487" s="806"/>
      <c r="AT487" s="806"/>
      <c r="AU487" s="806"/>
      <c r="AV487" s="806"/>
      <c r="AW487" s="806"/>
      <c r="AX487" s="806"/>
      <c r="AY487" s="806"/>
    </row>
    <row r="488" spans="1:51" ht="28.9" customHeight="1" x14ac:dyDescent="0.25">
      <c r="A488" s="828"/>
      <c r="B488" s="822"/>
      <c r="C488" s="838"/>
      <c r="D488" s="579" t="s">
        <v>353</v>
      </c>
      <c r="E488" s="582"/>
      <c r="F488" s="582"/>
      <c r="G488" s="582"/>
      <c r="H488" s="582"/>
      <c r="I488" s="580"/>
      <c r="J488" s="580">
        <v>1</v>
      </c>
      <c r="K488" s="598">
        <v>4</v>
      </c>
      <c r="L488" s="580">
        <v>4</v>
      </c>
      <c r="M488" s="580">
        <v>4</v>
      </c>
      <c r="N488" s="582">
        <v>4</v>
      </c>
      <c r="O488" s="618">
        <v>5</v>
      </c>
      <c r="P488" s="580">
        <v>5</v>
      </c>
      <c r="Q488" s="620">
        <v>5</v>
      </c>
      <c r="R488" s="620">
        <v>8</v>
      </c>
      <c r="S488" s="620"/>
      <c r="T488" s="620"/>
      <c r="U488" s="580">
        <v>0</v>
      </c>
      <c r="V488" s="580">
        <v>0</v>
      </c>
      <c r="W488" s="580">
        <v>1</v>
      </c>
      <c r="X488" s="593">
        <v>4</v>
      </c>
      <c r="Y488" s="593">
        <v>4</v>
      </c>
      <c r="Z488" s="580">
        <f t="shared" si="131"/>
        <v>4</v>
      </c>
      <c r="AA488" s="580">
        <f t="shared" si="131"/>
        <v>4</v>
      </c>
      <c r="AB488" s="575">
        <f t="shared" si="131"/>
        <v>5</v>
      </c>
      <c r="AC488" s="575">
        <f t="shared" si="131"/>
        <v>5</v>
      </c>
      <c r="AD488" s="575">
        <f t="shared" si="131"/>
        <v>5</v>
      </c>
      <c r="AE488" s="620">
        <f t="shared" si="131"/>
        <v>8</v>
      </c>
      <c r="AF488" s="838"/>
      <c r="AG488" s="828"/>
      <c r="AH488" s="822"/>
      <c r="AI488" s="822"/>
      <c r="AJ488" s="822"/>
      <c r="AK488" s="806"/>
      <c r="AL488" s="806"/>
      <c r="AM488" s="806"/>
      <c r="AN488" s="806"/>
      <c r="AO488" s="806"/>
      <c r="AP488" s="806"/>
      <c r="AQ488" s="806"/>
      <c r="AR488" s="806"/>
      <c r="AS488" s="806"/>
      <c r="AT488" s="806"/>
      <c r="AU488" s="806"/>
      <c r="AV488" s="806"/>
      <c r="AW488" s="806"/>
      <c r="AX488" s="806"/>
      <c r="AY488" s="806"/>
    </row>
    <row r="489" spans="1:51" ht="28.9" customHeight="1" x14ac:dyDescent="0.25">
      <c r="A489" s="828"/>
      <c r="B489" s="822"/>
      <c r="C489" s="839"/>
      <c r="D489" s="578" t="s">
        <v>354</v>
      </c>
      <c r="E489" s="597"/>
      <c r="F489" s="597"/>
      <c r="G489" s="597"/>
      <c r="H489" s="583"/>
      <c r="I489" s="575"/>
      <c r="J489" s="575">
        <v>9777666.666666666</v>
      </c>
      <c r="K489" s="575">
        <v>28974971.277777776</v>
      </c>
      <c r="L489" s="596">
        <v>22456526.833333332</v>
      </c>
      <c r="M489" s="596">
        <f t="shared" ref="M489:R489" si="133">+M485+M487</f>
        <v>20968354.065934066</v>
      </c>
      <c r="N489" s="597">
        <f t="shared" si="133"/>
        <v>24330905.714285713</v>
      </c>
      <c r="O489" s="597">
        <f t="shared" si="133"/>
        <v>25545277.142857142</v>
      </c>
      <c r="P489" s="596">
        <f t="shared" si="133"/>
        <v>21995799.681818184</v>
      </c>
      <c r="Q489" s="596">
        <f t="shared" si="133"/>
        <v>19147519.961538464</v>
      </c>
      <c r="R489" s="596">
        <f t="shared" si="133"/>
        <v>29033999.017241381</v>
      </c>
      <c r="S489" s="596"/>
      <c r="T489" s="620"/>
      <c r="U489" s="580">
        <v>0</v>
      </c>
      <c r="V489" s="580">
        <v>0</v>
      </c>
      <c r="W489" s="580">
        <v>9777666.666666666</v>
      </c>
      <c r="X489" s="593">
        <v>28974971.277777776</v>
      </c>
      <c r="Y489" s="593">
        <v>22456526.833333332</v>
      </c>
      <c r="Z489" s="580">
        <f t="shared" si="131"/>
        <v>20968354.065934066</v>
      </c>
      <c r="AA489" s="580">
        <f t="shared" si="131"/>
        <v>24330905.714285713</v>
      </c>
      <c r="AB489" s="575">
        <f t="shared" si="131"/>
        <v>25545277.142857142</v>
      </c>
      <c r="AC489" s="575">
        <f t="shared" si="131"/>
        <v>21995799.681818184</v>
      </c>
      <c r="AD489" s="575">
        <f t="shared" si="131"/>
        <v>19147519.961538464</v>
      </c>
      <c r="AE489" s="596">
        <f t="shared" si="131"/>
        <v>29033999.017241381</v>
      </c>
      <c r="AF489" s="839"/>
      <c r="AG489" s="829"/>
      <c r="AH489" s="823"/>
      <c r="AI489" s="823"/>
      <c r="AJ489" s="823"/>
      <c r="AK489" s="807"/>
      <c r="AL489" s="807"/>
      <c r="AM489" s="807"/>
      <c r="AN489" s="807"/>
      <c r="AO489" s="807"/>
      <c r="AP489" s="807"/>
      <c r="AQ489" s="807"/>
      <c r="AR489" s="807"/>
      <c r="AS489" s="807"/>
      <c r="AT489" s="807"/>
      <c r="AU489" s="807"/>
      <c r="AV489" s="807"/>
      <c r="AW489" s="807"/>
      <c r="AX489" s="807"/>
      <c r="AY489" s="807"/>
    </row>
    <row r="490" spans="1:51" ht="19.149999999999999" customHeight="1" x14ac:dyDescent="0.25">
      <c r="A490" s="828"/>
      <c r="B490" s="822"/>
      <c r="C490" s="824" t="s">
        <v>581</v>
      </c>
      <c r="D490" s="572" t="s">
        <v>345</v>
      </c>
      <c r="E490" s="582"/>
      <c r="F490" s="582"/>
      <c r="G490" s="582"/>
      <c r="H490" s="582"/>
      <c r="I490" s="580"/>
      <c r="J490" s="580">
        <v>1</v>
      </c>
      <c r="K490" s="598">
        <v>2</v>
      </c>
      <c r="L490" s="580">
        <v>2</v>
      </c>
      <c r="M490" s="580">
        <v>2</v>
      </c>
      <c r="N490" s="592">
        <v>3</v>
      </c>
      <c r="O490" s="618">
        <v>3</v>
      </c>
      <c r="P490" s="580">
        <v>3</v>
      </c>
      <c r="Q490" s="620">
        <v>6</v>
      </c>
      <c r="R490" s="620">
        <v>8</v>
      </c>
      <c r="S490" s="620"/>
      <c r="T490" s="620"/>
      <c r="U490" s="580">
        <v>0</v>
      </c>
      <c r="V490" s="580">
        <v>0</v>
      </c>
      <c r="W490" s="580">
        <v>1</v>
      </c>
      <c r="X490" s="593">
        <v>2</v>
      </c>
      <c r="Y490" s="593">
        <v>2</v>
      </c>
      <c r="Z490" s="580">
        <f t="shared" si="131"/>
        <v>2</v>
      </c>
      <c r="AA490" s="580">
        <f t="shared" si="131"/>
        <v>3</v>
      </c>
      <c r="AB490" s="575">
        <f t="shared" si="131"/>
        <v>3</v>
      </c>
      <c r="AC490" s="575">
        <f t="shared" si="131"/>
        <v>3</v>
      </c>
      <c r="AD490" s="575">
        <f t="shared" si="131"/>
        <v>6</v>
      </c>
      <c r="AE490" s="620">
        <f t="shared" si="131"/>
        <v>8</v>
      </c>
      <c r="AF490" s="864" t="s">
        <v>812</v>
      </c>
      <c r="AG490" s="835" t="str">
        <f>+C490</f>
        <v>15-ANTONIO NARIÑO</v>
      </c>
      <c r="AH490" s="865" t="s">
        <v>813</v>
      </c>
      <c r="AI490" s="865" t="s">
        <v>814</v>
      </c>
      <c r="AJ490" s="824" t="s">
        <v>751</v>
      </c>
      <c r="AK490" s="826" t="s">
        <v>490</v>
      </c>
      <c r="AL490" s="826" t="s">
        <v>178</v>
      </c>
      <c r="AM490" s="826" t="s">
        <v>752</v>
      </c>
      <c r="AN490" s="861">
        <v>83925</v>
      </c>
      <c r="AO490" s="820">
        <v>38960</v>
      </c>
      <c r="AP490" s="820">
        <v>44965</v>
      </c>
      <c r="AQ490" s="833" t="s">
        <v>492</v>
      </c>
      <c r="AR490" s="833" t="s">
        <v>492</v>
      </c>
      <c r="AS490" s="833" t="s">
        <v>492</v>
      </c>
      <c r="AT490" s="833" t="s">
        <v>492</v>
      </c>
      <c r="AU490" s="833" t="s">
        <v>492</v>
      </c>
      <c r="AV490" s="833" t="s">
        <v>492</v>
      </c>
      <c r="AW490" s="833" t="s">
        <v>492</v>
      </c>
      <c r="AX490" s="820">
        <v>83925</v>
      </c>
      <c r="AY490" s="862" t="s">
        <v>815</v>
      </c>
    </row>
    <row r="491" spans="1:51" ht="19.149999999999999" customHeight="1" x14ac:dyDescent="0.25">
      <c r="A491" s="828"/>
      <c r="B491" s="822"/>
      <c r="C491" s="822"/>
      <c r="D491" s="578" t="s">
        <v>349</v>
      </c>
      <c r="E491" s="583"/>
      <c r="F491" s="583"/>
      <c r="G491" s="583"/>
      <c r="H491" s="583"/>
      <c r="I491" s="575"/>
      <c r="J491" s="580">
        <v>9777666.666666666</v>
      </c>
      <c r="K491" s="580">
        <v>13036888.888888888</v>
      </c>
      <c r="L491" s="580">
        <v>9777666.666666666</v>
      </c>
      <c r="M491" s="580">
        <f>+M490*$Z$395/$Z$394</f>
        <v>9025538.461538462</v>
      </c>
      <c r="N491" s="582">
        <f>+N490*$AA$395/$AA$394</f>
        <v>16060221.428571429</v>
      </c>
      <c r="O491" s="582">
        <f>+O490*$AB$395/$AB$394</f>
        <v>13576800</v>
      </c>
      <c r="P491" s="580">
        <f>+P490*$AC$395/$AC$394</f>
        <v>11108290.909090908</v>
      </c>
      <c r="Q491" s="580">
        <f>+Q490*$AD$395/$AD$394</f>
        <v>18798646.153846152</v>
      </c>
      <c r="R491" s="580">
        <f>+R490*$AE$395/$AE$394</f>
        <v>25552017.517241381</v>
      </c>
      <c r="S491" s="580"/>
      <c r="T491" s="615"/>
      <c r="U491" s="580">
        <v>0</v>
      </c>
      <c r="V491" s="580">
        <v>0</v>
      </c>
      <c r="W491" s="580">
        <v>9777666.666666666</v>
      </c>
      <c r="X491" s="593">
        <v>13036888.888888888</v>
      </c>
      <c r="Y491" s="593">
        <v>9777666.666666666</v>
      </c>
      <c r="Z491" s="580">
        <f t="shared" si="131"/>
        <v>9025538.461538462</v>
      </c>
      <c r="AA491" s="580">
        <f t="shared" si="131"/>
        <v>16060221.428571429</v>
      </c>
      <c r="AB491" s="575">
        <f t="shared" si="131"/>
        <v>13576800</v>
      </c>
      <c r="AC491" s="575">
        <f t="shared" si="131"/>
        <v>11108290.909090908</v>
      </c>
      <c r="AD491" s="575">
        <f t="shared" si="131"/>
        <v>18798646.153846152</v>
      </c>
      <c r="AE491" s="580">
        <f t="shared" si="131"/>
        <v>25552017.517241381</v>
      </c>
      <c r="AF491" s="838"/>
      <c r="AG491" s="828"/>
      <c r="AH491" s="822"/>
      <c r="AI491" s="822"/>
      <c r="AJ491" s="822"/>
      <c r="AK491" s="806"/>
      <c r="AL491" s="806"/>
      <c r="AM491" s="806"/>
      <c r="AN491" s="806"/>
      <c r="AO491" s="806"/>
      <c r="AP491" s="806"/>
      <c r="AQ491" s="806"/>
      <c r="AR491" s="806"/>
      <c r="AS491" s="806"/>
      <c r="AT491" s="806"/>
      <c r="AU491" s="806"/>
      <c r="AV491" s="806"/>
      <c r="AW491" s="806"/>
      <c r="AX491" s="806"/>
      <c r="AY491" s="806"/>
    </row>
    <row r="492" spans="1:51" ht="28.9" customHeight="1" x14ac:dyDescent="0.25">
      <c r="A492" s="828"/>
      <c r="B492" s="822"/>
      <c r="C492" s="822"/>
      <c r="D492" s="579" t="s">
        <v>351</v>
      </c>
      <c r="E492" s="583"/>
      <c r="F492" s="583"/>
      <c r="G492" s="583"/>
      <c r="H492" s="583"/>
      <c r="I492" s="575"/>
      <c r="J492" s="575"/>
      <c r="K492" s="619"/>
      <c r="L492" s="575"/>
      <c r="M492" s="575"/>
      <c r="N492" s="573"/>
      <c r="O492" s="613"/>
      <c r="P492" s="620"/>
      <c r="Q492" s="615"/>
      <c r="R492" s="615"/>
      <c r="S492" s="615"/>
      <c r="T492" s="615"/>
      <c r="U492" s="580">
        <v>0</v>
      </c>
      <c r="V492" s="580">
        <v>0</v>
      </c>
      <c r="W492" s="580">
        <v>0</v>
      </c>
      <c r="X492" s="593">
        <v>0</v>
      </c>
      <c r="Y492" s="593">
        <v>0</v>
      </c>
      <c r="Z492" s="580">
        <f t="shared" si="131"/>
        <v>0</v>
      </c>
      <c r="AA492" s="580">
        <f t="shared" si="131"/>
        <v>0</v>
      </c>
      <c r="AB492" s="575">
        <f t="shared" si="131"/>
        <v>0</v>
      </c>
      <c r="AC492" s="575">
        <f t="shared" si="131"/>
        <v>0</v>
      </c>
      <c r="AD492" s="575">
        <f t="shared" si="131"/>
        <v>0</v>
      </c>
      <c r="AE492" s="615">
        <f t="shared" si="131"/>
        <v>0</v>
      </c>
      <c r="AF492" s="838"/>
      <c r="AG492" s="828"/>
      <c r="AH492" s="822"/>
      <c r="AI492" s="822"/>
      <c r="AJ492" s="822"/>
      <c r="AK492" s="806"/>
      <c r="AL492" s="806"/>
      <c r="AM492" s="806"/>
      <c r="AN492" s="806"/>
      <c r="AO492" s="806"/>
      <c r="AP492" s="806"/>
      <c r="AQ492" s="806"/>
      <c r="AR492" s="806"/>
      <c r="AS492" s="806"/>
      <c r="AT492" s="806"/>
      <c r="AU492" s="806"/>
      <c r="AV492" s="806"/>
      <c r="AW492" s="806"/>
      <c r="AX492" s="806"/>
      <c r="AY492" s="806"/>
    </row>
    <row r="493" spans="1:51" ht="28.9" customHeight="1" x14ac:dyDescent="0.25">
      <c r="A493" s="828"/>
      <c r="B493" s="822"/>
      <c r="C493" s="822"/>
      <c r="D493" s="578" t="s">
        <v>352</v>
      </c>
      <c r="E493" s="583"/>
      <c r="F493" s="583"/>
      <c r="G493" s="583"/>
      <c r="H493" s="583"/>
      <c r="I493" s="575"/>
      <c r="J493" s="575"/>
      <c r="K493" s="575">
        <v>2901193.5</v>
      </c>
      <c r="L493" s="575">
        <v>2901193.5</v>
      </c>
      <c r="M493" s="575">
        <v>2917277.1428571427</v>
      </c>
      <c r="N493" s="583">
        <v>2917277.1428571427</v>
      </c>
      <c r="O493" s="583">
        <v>2917277.1428571427</v>
      </c>
      <c r="P493" s="620">
        <v>3481981.5</v>
      </c>
      <c r="Q493" s="620">
        <v>3481981.5</v>
      </c>
      <c r="R493" s="620">
        <v>3481981.5</v>
      </c>
      <c r="S493" s="620"/>
      <c r="T493" s="615"/>
      <c r="U493" s="580">
        <v>0</v>
      </c>
      <c r="V493" s="580">
        <v>0</v>
      </c>
      <c r="W493" s="580">
        <v>0</v>
      </c>
      <c r="X493" s="593">
        <v>2901193.5</v>
      </c>
      <c r="Y493" s="593">
        <v>2901193.5</v>
      </c>
      <c r="Z493" s="580">
        <f t="shared" si="131"/>
        <v>2917277.1428571427</v>
      </c>
      <c r="AA493" s="580">
        <f t="shared" si="131"/>
        <v>2917277.1428571427</v>
      </c>
      <c r="AB493" s="575">
        <f t="shared" si="131"/>
        <v>2917277.1428571427</v>
      </c>
      <c r="AC493" s="575">
        <f t="shared" si="131"/>
        <v>3481981.5</v>
      </c>
      <c r="AD493" s="575">
        <f t="shared" si="131"/>
        <v>3481981.5</v>
      </c>
      <c r="AE493" s="620">
        <f t="shared" si="131"/>
        <v>3481981.5</v>
      </c>
      <c r="AF493" s="838"/>
      <c r="AG493" s="828"/>
      <c r="AH493" s="822"/>
      <c r="AI493" s="822"/>
      <c r="AJ493" s="822"/>
      <c r="AK493" s="806"/>
      <c r="AL493" s="806"/>
      <c r="AM493" s="806"/>
      <c r="AN493" s="806"/>
      <c r="AO493" s="806"/>
      <c r="AP493" s="806"/>
      <c r="AQ493" s="806"/>
      <c r="AR493" s="806"/>
      <c r="AS493" s="806"/>
      <c r="AT493" s="806"/>
      <c r="AU493" s="806"/>
      <c r="AV493" s="806"/>
      <c r="AW493" s="806"/>
      <c r="AX493" s="806"/>
      <c r="AY493" s="806"/>
    </row>
    <row r="494" spans="1:51" ht="28.9" customHeight="1" x14ac:dyDescent="0.25">
      <c r="A494" s="828"/>
      <c r="B494" s="822"/>
      <c r="C494" s="822"/>
      <c r="D494" s="579" t="s">
        <v>353</v>
      </c>
      <c r="E494" s="582"/>
      <c r="F494" s="582"/>
      <c r="G494" s="582"/>
      <c r="H494" s="582"/>
      <c r="I494" s="580"/>
      <c r="J494" s="580">
        <v>1</v>
      </c>
      <c r="K494" s="598">
        <v>2</v>
      </c>
      <c r="L494" s="580">
        <v>2</v>
      </c>
      <c r="M494" s="580">
        <v>2</v>
      </c>
      <c r="N494" s="582">
        <v>3</v>
      </c>
      <c r="O494" s="618">
        <v>3</v>
      </c>
      <c r="P494" s="580">
        <v>3</v>
      </c>
      <c r="Q494" s="620">
        <v>6</v>
      </c>
      <c r="R494" s="620">
        <v>8</v>
      </c>
      <c r="S494" s="620"/>
      <c r="T494" s="620"/>
      <c r="U494" s="580">
        <v>0</v>
      </c>
      <c r="V494" s="580">
        <v>0</v>
      </c>
      <c r="W494" s="580">
        <v>1</v>
      </c>
      <c r="X494" s="593">
        <v>2</v>
      </c>
      <c r="Y494" s="593">
        <v>2</v>
      </c>
      <c r="Z494" s="580">
        <f t="shared" si="131"/>
        <v>2</v>
      </c>
      <c r="AA494" s="580">
        <f t="shared" si="131"/>
        <v>3</v>
      </c>
      <c r="AB494" s="575">
        <f t="shared" si="131"/>
        <v>3</v>
      </c>
      <c r="AC494" s="575">
        <f t="shared" si="131"/>
        <v>3</v>
      </c>
      <c r="AD494" s="575">
        <f t="shared" si="131"/>
        <v>6</v>
      </c>
      <c r="AE494" s="620">
        <f t="shared" si="131"/>
        <v>8</v>
      </c>
      <c r="AF494" s="838"/>
      <c r="AG494" s="828"/>
      <c r="AH494" s="822"/>
      <c r="AI494" s="822"/>
      <c r="AJ494" s="822"/>
      <c r="AK494" s="806"/>
      <c r="AL494" s="806"/>
      <c r="AM494" s="806"/>
      <c r="AN494" s="806"/>
      <c r="AO494" s="806"/>
      <c r="AP494" s="806"/>
      <c r="AQ494" s="806"/>
      <c r="AR494" s="806"/>
      <c r="AS494" s="806"/>
      <c r="AT494" s="806"/>
      <c r="AU494" s="806"/>
      <c r="AV494" s="806"/>
      <c r="AW494" s="806"/>
      <c r="AX494" s="806"/>
      <c r="AY494" s="806"/>
    </row>
    <row r="495" spans="1:51" ht="28.9" customHeight="1" x14ac:dyDescent="0.25">
      <c r="A495" s="828"/>
      <c r="B495" s="822"/>
      <c r="C495" s="823"/>
      <c r="D495" s="578" t="s">
        <v>354</v>
      </c>
      <c r="E495" s="597"/>
      <c r="F495" s="597"/>
      <c r="G495" s="597"/>
      <c r="H495" s="597"/>
      <c r="I495" s="596"/>
      <c r="J495" s="575">
        <v>9777666.666666666</v>
      </c>
      <c r="K495" s="575">
        <v>15938082.388888888</v>
      </c>
      <c r="L495" s="596">
        <v>12678860.166666666</v>
      </c>
      <c r="M495" s="596">
        <f t="shared" ref="M495:R495" si="134">+M491+M493</f>
        <v>11942815.604395606</v>
      </c>
      <c r="N495" s="597">
        <f t="shared" si="134"/>
        <v>18977498.571428571</v>
      </c>
      <c r="O495" s="597">
        <f t="shared" si="134"/>
        <v>16494077.142857142</v>
      </c>
      <c r="P495" s="596">
        <f t="shared" si="134"/>
        <v>14590272.409090908</v>
      </c>
      <c r="Q495" s="596">
        <f t="shared" si="134"/>
        <v>22280627.653846152</v>
      </c>
      <c r="R495" s="596">
        <f t="shared" si="134"/>
        <v>29033999.017241381</v>
      </c>
      <c r="S495" s="596"/>
      <c r="T495" s="620"/>
      <c r="U495" s="580">
        <v>0</v>
      </c>
      <c r="V495" s="580">
        <v>0</v>
      </c>
      <c r="W495" s="580">
        <v>9777666.666666666</v>
      </c>
      <c r="X495" s="593">
        <v>15938082.388888888</v>
      </c>
      <c r="Y495" s="593">
        <v>12678860.166666666</v>
      </c>
      <c r="Z495" s="580">
        <f t="shared" si="131"/>
        <v>11942815.604395606</v>
      </c>
      <c r="AA495" s="580">
        <f t="shared" si="131"/>
        <v>18977498.571428571</v>
      </c>
      <c r="AB495" s="575">
        <f t="shared" si="131"/>
        <v>16494077.142857142</v>
      </c>
      <c r="AC495" s="575">
        <f t="shared" si="131"/>
        <v>14590272.409090908</v>
      </c>
      <c r="AD495" s="575">
        <f t="shared" si="131"/>
        <v>22280627.653846152</v>
      </c>
      <c r="AE495" s="596">
        <f t="shared" si="131"/>
        <v>29033999.017241381</v>
      </c>
      <c r="AF495" s="839"/>
      <c r="AG495" s="829"/>
      <c r="AH495" s="823"/>
      <c r="AI495" s="823"/>
      <c r="AJ495" s="823"/>
      <c r="AK495" s="807"/>
      <c r="AL495" s="807"/>
      <c r="AM495" s="807"/>
      <c r="AN495" s="807"/>
      <c r="AO495" s="807"/>
      <c r="AP495" s="807"/>
      <c r="AQ495" s="807"/>
      <c r="AR495" s="807"/>
      <c r="AS495" s="807"/>
      <c r="AT495" s="807"/>
      <c r="AU495" s="807"/>
      <c r="AV495" s="807"/>
      <c r="AW495" s="807"/>
      <c r="AX495" s="807"/>
      <c r="AY495" s="807"/>
    </row>
    <row r="496" spans="1:51" ht="19.149999999999999" customHeight="1" x14ac:dyDescent="0.25">
      <c r="A496" s="828"/>
      <c r="B496" s="822"/>
      <c r="C496" s="837" t="s">
        <v>657</v>
      </c>
      <c r="D496" s="572" t="s">
        <v>345</v>
      </c>
      <c r="E496" s="582"/>
      <c r="F496" s="582"/>
      <c r="G496" s="582"/>
      <c r="H496" s="582">
        <v>7</v>
      </c>
      <c r="I496" s="580">
        <v>16</v>
      </c>
      <c r="J496" s="580">
        <v>21</v>
      </c>
      <c r="K496" s="598">
        <v>22</v>
      </c>
      <c r="L496" s="580">
        <v>28</v>
      </c>
      <c r="M496" s="580">
        <v>28</v>
      </c>
      <c r="N496" s="592">
        <v>28</v>
      </c>
      <c r="O496" s="618">
        <v>35</v>
      </c>
      <c r="P496" s="580">
        <v>43</v>
      </c>
      <c r="Q496" s="620">
        <v>53</v>
      </c>
      <c r="R496" s="620">
        <v>53</v>
      </c>
      <c r="S496" s="620"/>
      <c r="T496" s="620"/>
      <c r="U496" s="580">
        <v>7</v>
      </c>
      <c r="V496" s="580">
        <v>16</v>
      </c>
      <c r="W496" s="580">
        <v>21</v>
      </c>
      <c r="X496" s="593">
        <v>22</v>
      </c>
      <c r="Y496" s="593">
        <v>28</v>
      </c>
      <c r="Z496" s="580">
        <f t="shared" ref="Z496:AE511" si="135">+M496</f>
        <v>28</v>
      </c>
      <c r="AA496" s="580">
        <f t="shared" si="135"/>
        <v>28</v>
      </c>
      <c r="AB496" s="575">
        <f t="shared" si="135"/>
        <v>35</v>
      </c>
      <c r="AC496" s="575">
        <f t="shared" si="135"/>
        <v>43</v>
      </c>
      <c r="AD496" s="575">
        <f t="shared" si="135"/>
        <v>53</v>
      </c>
      <c r="AE496" s="620">
        <f t="shared" si="135"/>
        <v>53</v>
      </c>
      <c r="AF496" s="864" t="s">
        <v>816</v>
      </c>
      <c r="AG496" s="835" t="s">
        <v>657</v>
      </c>
      <c r="AH496" s="867" t="s">
        <v>817</v>
      </c>
      <c r="AI496" s="865" t="s">
        <v>818</v>
      </c>
      <c r="AJ496" s="824" t="s">
        <v>751</v>
      </c>
      <c r="AK496" s="826" t="s">
        <v>490</v>
      </c>
      <c r="AL496" s="826" t="s">
        <v>765</v>
      </c>
      <c r="AM496" s="826" t="s">
        <v>752</v>
      </c>
      <c r="AN496" s="861">
        <v>256731</v>
      </c>
      <c r="AO496" s="820">
        <v>127095</v>
      </c>
      <c r="AP496" s="820">
        <v>129636</v>
      </c>
      <c r="AQ496" s="833" t="s">
        <v>492</v>
      </c>
      <c r="AR496" s="833" t="s">
        <v>492</v>
      </c>
      <c r="AS496" s="833" t="s">
        <v>492</v>
      </c>
      <c r="AT496" s="833" t="s">
        <v>492</v>
      </c>
      <c r="AU496" s="833" t="s">
        <v>492</v>
      </c>
      <c r="AV496" s="833" t="s">
        <v>492</v>
      </c>
      <c r="AW496" s="833" t="s">
        <v>492</v>
      </c>
      <c r="AX496" s="861">
        <v>256731</v>
      </c>
      <c r="AY496" s="862" t="s">
        <v>819</v>
      </c>
    </row>
    <row r="497" spans="1:51" ht="19.149999999999999" customHeight="1" x14ac:dyDescent="0.25">
      <c r="A497" s="828"/>
      <c r="B497" s="822"/>
      <c r="C497" s="838"/>
      <c r="D497" s="578" t="s">
        <v>349</v>
      </c>
      <c r="E497" s="583"/>
      <c r="F497" s="583"/>
      <c r="G497" s="583"/>
      <c r="H497" s="582">
        <v>410662000</v>
      </c>
      <c r="I497" s="580">
        <v>312885333.33333331</v>
      </c>
      <c r="J497" s="580">
        <v>205331000</v>
      </c>
      <c r="K497" s="580">
        <v>143405777.77777779</v>
      </c>
      <c r="L497" s="580">
        <v>136887333.33333334</v>
      </c>
      <c r="M497" s="580">
        <f>+M496*$Z$395/$Z$394</f>
        <v>126357538.46153846</v>
      </c>
      <c r="N497" s="582">
        <f>+N496*$AA$395/$AA$394</f>
        <v>149895400</v>
      </c>
      <c r="O497" s="582">
        <f>+O496*$AB$395/$AB$394</f>
        <v>158396000</v>
      </c>
      <c r="P497" s="580">
        <f>+P496*$AC$395/$AC$394</f>
        <v>159218836.36363637</v>
      </c>
      <c r="Q497" s="580">
        <f>+Q496*$AD$395/$AD$394</f>
        <v>166054707.69230768</v>
      </c>
      <c r="R497" s="580">
        <f>+R496*$AE$395/$AE$394</f>
        <v>169282116.05172414</v>
      </c>
      <c r="S497" s="580"/>
      <c r="T497" s="615"/>
      <c r="U497" s="580">
        <v>410662000</v>
      </c>
      <c r="V497" s="580">
        <v>312885333.33333331</v>
      </c>
      <c r="W497" s="580">
        <v>205331000</v>
      </c>
      <c r="X497" s="593">
        <v>143405777.77777779</v>
      </c>
      <c r="Y497" s="593">
        <v>136887333.33333334</v>
      </c>
      <c r="Z497" s="580">
        <f t="shared" si="135"/>
        <v>126357538.46153846</v>
      </c>
      <c r="AA497" s="580">
        <f t="shared" si="135"/>
        <v>149895400</v>
      </c>
      <c r="AB497" s="575">
        <f t="shared" si="135"/>
        <v>158396000</v>
      </c>
      <c r="AC497" s="575">
        <f t="shared" si="135"/>
        <v>159218836.36363637</v>
      </c>
      <c r="AD497" s="575">
        <f t="shared" si="135"/>
        <v>166054707.69230768</v>
      </c>
      <c r="AE497" s="580">
        <f t="shared" si="135"/>
        <v>169282116.05172414</v>
      </c>
      <c r="AF497" s="838"/>
      <c r="AG497" s="828"/>
      <c r="AH497" s="822"/>
      <c r="AI497" s="822"/>
      <c r="AJ497" s="822"/>
      <c r="AK497" s="806"/>
      <c r="AL497" s="806"/>
      <c r="AM497" s="806"/>
      <c r="AN497" s="806"/>
      <c r="AO497" s="806"/>
      <c r="AP497" s="806"/>
      <c r="AQ497" s="806"/>
      <c r="AR497" s="806"/>
      <c r="AS497" s="806"/>
      <c r="AT497" s="806"/>
      <c r="AU497" s="806"/>
      <c r="AV497" s="806"/>
      <c r="AW497" s="806"/>
      <c r="AX497" s="806"/>
      <c r="AY497" s="806"/>
    </row>
    <row r="498" spans="1:51" ht="28.9" customHeight="1" x14ac:dyDescent="0.25">
      <c r="A498" s="828"/>
      <c r="B498" s="822"/>
      <c r="C498" s="838"/>
      <c r="D498" s="579" t="s">
        <v>351</v>
      </c>
      <c r="E498" s="583"/>
      <c r="F498" s="583"/>
      <c r="G498" s="583"/>
      <c r="H498" s="583"/>
      <c r="I498" s="575"/>
      <c r="J498" s="575"/>
      <c r="K498" s="619"/>
      <c r="L498" s="575"/>
      <c r="M498" s="575"/>
      <c r="N498" s="573"/>
      <c r="O498" s="613"/>
      <c r="P498" s="620"/>
      <c r="Q498" s="615"/>
      <c r="R498" s="615"/>
      <c r="S498" s="615"/>
      <c r="T498" s="615"/>
      <c r="U498" s="580">
        <v>0</v>
      </c>
      <c r="V498" s="580">
        <v>0</v>
      </c>
      <c r="W498" s="580">
        <v>0</v>
      </c>
      <c r="X498" s="593">
        <v>0</v>
      </c>
      <c r="Y498" s="593">
        <v>0</v>
      </c>
      <c r="Z498" s="580">
        <f t="shared" si="135"/>
        <v>0</v>
      </c>
      <c r="AA498" s="580">
        <f t="shared" si="135"/>
        <v>0</v>
      </c>
      <c r="AB498" s="575">
        <f t="shared" si="135"/>
        <v>0</v>
      </c>
      <c r="AC498" s="575">
        <f t="shared" si="135"/>
        <v>0</v>
      </c>
      <c r="AD498" s="575">
        <f t="shared" si="135"/>
        <v>0</v>
      </c>
      <c r="AE498" s="615">
        <f t="shared" si="135"/>
        <v>0</v>
      </c>
      <c r="AF498" s="838"/>
      <c r="AG498" s="828"/>
      <c r="AH498" s="822"/>
      <c r="AI498" s="822"/>
      <c r="AJ498" s="822"/>
      <c r="AK498" s="806"/>
      <c r="AL498" s="806"/>
      <c r="AM498" s="806"/>
      <c r="AN498" s="806"/>
      <c r="AO498" s="806"/>
      <c r="AP498" s="806"/>
      <c r="AQ498" s="806"/>
      <c r="AR498" s="806"/>
      <c r="AS498" s="806"/>
      <c r="AT498" s="806"/>
      <c r="AU498" s="806"/>
      <c r="AV498" s="806"/>
      <c r="AW498" s="806"/>
      <c r="AX498" s="806"/>
      <c r="AY498" s="806"/>
    </row>
    <row r="499" spans="1:51" ht="28.9" customHeight="1" x14ac:dyDescent="0.25">
      <c r="A499" s="828"/>
      <c r="B499" s="822"/>
      <c r="C499" s="838"/>
      <c r="D499" s="578" t="s">
        <v>352</v>
      </c>
      <c r="E499" s="583"/>
      <c r="F499" s="583"/>
      <c r="G499" s="583"/>
      <c r="H499" s="583">
        <v>9636358</v>
      </c>
      <c r="I499" s="575">
        <v>5506490.2857142854</v>
      </c>
      <c r="J499" s="575">
        <v>5506490.2857142854</v>
      </c>
      <c r="K499" s="575">
        <v>2901193.5</v>
      </c>
      <c r="L499" s="575">
        <v>2901193.5</v>
      </c>
      <c r="M499" s="575">
        <v>2917277.1428571427</v>
      </c>
      <c r="N499" s="583">
        <v>2917277.1428571427</v>
      </c>
      <c r="O499" s="583">
        <v>2917277.1428571427</v>
      </c>
      <c r="P499" s="615">
        <v>3481981.5</v>
      </c>
      <c r="Q499" s="615">
        <v>3481981.5</v>
      </c>
      <c r="R499" s="615">
        <v>3481981.5</v>
      </c>
      <c r="S499" s="615"/>
      <c r="T499" s="615"/>
      <c r="U499" s="580">
        <v>9636358</v>
      </c>
      <c r="V499" s="580">
        <v>5506490.2857142854</v>
      </c>
      <c r="W499" s="580">
        <v>5506490.2857142854</v>
      </c>
      <c r="X499" s="593">
        <v>2901193.5</v>
      </c>
      <c r="Y499" s="593">
        <v>2901193.5</v>
      </c>
      <c r="Z499" s="580">
        <f t="shared" si="135"/>
        <v>2917277.1428571427</v>
      </c>
      <c r="AA499" s="580">
        <f t="shared" si="135"/>
        <v>2917277.1428571427</v>
      </c>
      <c r="AB499" s="575">
        <f t="shared" si="135"/>
        <v>2917277.1428571427</v>
      </c>
      <c r="AC499" s="575">
        <f t="shared" si="135"/>
        <v>3481981.5</v>
      </c>
      <c r="AD499" s="575">
        <f t="shared" si="135"/>
        <v>3481981.5</v>
      </c>
      <c r="AE499" s="615">
        <f t="shared" si="135"/>
        <v>3481981.5</v>
      </c>
      <c r="AF499" s="838"/>
      <c r="AG499" s="828"/>
      <c r="AH499" s="822"/>
      <c r="AI499" s="822"/>
      <c r="AJ499" s="822"/>
      <c r="AK499" s="806"/>
      <c r="AL499" s="806"/>
      <c r="AM499" s="806"/>
      <c r="AN499" s="806"/>
      <c r="AO499" s="806"/>
      <c r="AP499" s="806"/>
      <c r="AQ499" s="806"/>
      <c r="AR499" s="806"/>
      <c r="AS499" s="806"/>
      <c r="AT499" s="806"/>
      <c r="AU499" s="806"/>
      <c r="AV499" s="806"/>
      <c r="AW499" s="806"/>
      <c r="AX499" s="806"/>
      <c r="AY499" s="806"/>
    </row>
    <row r="500" spans="1:51" ht="28.9" customHeight="1" x14ac:dyDescent="0.25">
      <c r="A500" s="828"/>
      <c r="B500" s="822"/>
      <c r="C500" s="838"/>
      <c r="D500" s="579" t="s">
        <v>353</v>
      </c>
      <c r="E500" s="582"/>
      <c r="F500" s="582"/>
      <c r="G500" s="582"/>
      <c r="H500" s="582">
        <v>7</v>
      </c>
      <c r="I500" s="580">
        <v>16</v>
      </c>
      <c r="J500" s="580">
        <v>21</v>
      </c>
      <c r="K500" s="598">
        <v>22</v>
      </c>
      <c r="L500" s="580">
        <v>28</v>
      </c>
      <c r="M500" s="580">
        <v>28</v>
      </c>
      <c r="N500" s="582">
        <v>28</v>
      </c>
      <c r="O500" s="618">
        <v>35</v>
      </c>
      <c r="P500" s="580">
        <v>43</v>
      </c>
      <c r="Q500" s="620">
        <v>53</v>
      </c>
      <c r="R500" s="620">
        <v>53</v>
      </c>
      <c r="S500" s="620"/>
      <c r="T500" s="620"/>
      <c r="U500" s="580">
        <v>7</v>
      </c>
      <c r="V500" s="580">
        <v>16</v>
      </c>
      <c r="W500" s="580">
        <v>21</v>
      </c>
      <c r="X500" s="593">
        <v>22</v>
      </c>
      <c r="Y500" s="593">
        <v>28</v>
      </c>
      <c r="Z500" s="580">
        <f t="shared" si="135"/>
        <v>28</v>
      </c>
      <c r="AA500" s="580">
        <f t="shared" si="135"/>
        <v>28</v>
      </c>
      <c r="AB500" s="575">
        <f t="shared" si="135"/>
        <v>35</v>
      </c>
      <c r="AC500" s="575">
        <f t="shared" si="135"/>
        <v>43</v>
      </c>
      <c r="AD500" s="575">
        <f t="shared" si="135"/>
        <v>53</v>
      </c>
      <c r="AE500" s="620">
        <f t="shared" si="135"/>
        <v>53</v>
      </c>
      <c r="AF500" s="838"/>
      <c r="AG500" s="828"/>
      <c r="AH500" s="822"/>
      <c r="AI500" s="822"/>
      <c r="AJ500" s="822"/>
      <c r="AK500" s="806"/>
      <c r="AL500" s="806"/>
      <c r="AM500" s="806"/>
      <c r="AN500" s="806"/>
      <c r="AO500" s="806"/>
      <c r="AP500" s="806"/>
      <c r="AQ500" s="806"/>
      <c r="AR500" s="806"/>
      <c r="AS500" s="806"/>
      <c r="AT500" s="806"/>
      <c r="AU500" s="806"/>
      <c r="AV500" s="806"/>
      <c r="AW500" s="806"/>
      <c r="AX500" s="806"/>
      <c r="AY500" s="806"/>
    </row>
    <row r="501" spans="1:51" ht="28.9" customHeight="1" x14ac:dyDescent="0.25">
      <c r="A501" s="828"/>
      <c r="B501" s="822"/>
      <c r="C501" s="839"/>
      <c r="D501" s="578" t="s">
        <v>354</v>
      </c>
      <c r="E501" s="597"/>
      <c r="F501" s="597"/>
      <c r="G501" s="583"/>
      <c r="H501" s="583">
        <v>420298358</v>
      </c>
      <c r="I501" s="575">
        <v>318391823.61904758</v>
      </c>
      <c r="J501" s="575">
        <v>210837490.2857143</v>
      </c>
      <c r="K501" s="575">
        <v>146306971.27777779</v>
      </c>
      <c r="L501" s="596">
        <v>139788526.83333334</v>
      </c>
      <c r="M501" s="596">
        <f t="shared" ref="M501:R501" si="136">+M497+M499</f>
        <v>129274815.60439561</v>
      </c>
      <c r="N501" s="597">
        <f t="shared" si="136"/>
        <v>152812677.14285713</v>
      </c>
      <c r="O501" s="597">
        <f t="shared" si="136"/>
        <v>161313277.14285713</v>
      </c>
      <c r="P501" s="596">
        <f t="shared" si="136"/>
        <v>162700817.86363637</v>
      </c>
      <c r="Q501" s="596">
        <f t="shared" si="136"/>
        <v>169536689.19230768</v>
      </c>
      <c r="R501" s="596">
        <f t="shared" si="136"/>
        <v>172764097.55172414</v>
      </c>
      <c r="S501" s="596"/>
      <c r="T501" s="620"/>
      <c r="U501" s="580">
        <v>420298358</v>
      </c>
      <c r="V501" s="580">
        <v>318391823.61904758</v>
      </c>
      <c r="W501" s="580">
        <v>210837490.2857143</v>
      </c>
      <c r="X501" s="593">
        <v>146306971.27777779</v>
      </c>
      <c r="Y501" s="593">
        <v>139788526.83333334</v>
      </c>
      <c r="Z501" s="580">
        <f t="shared" si="135"/>
        <v>129274815.60439561</v>
      </c>
      <c r="AA501" s="580">
        <f t="shared" si="135"/>
        <v>152812677.14285713</v>
      </c>
      <c r="AB501" s="575">
        <f t="shared" si="135"/>
        <v>161313277.14285713</v>
      </c>
      <c r="AC501" s="575">
        <f t="shared" si="135"/>
        <v>162700817.86363637</v>
      </c>
      <c r="AD501" s="575">
        <f t="shared" si="135"/>
        <v>169536689.19230768</v>
      </c>
      <c r="AE501" s="596">
        <f t="shared" si="135"/>
        <v>172764097.55172414</v>
      </c>
      <c r="AF501" s="839"/>
      <c r="AG501" s="829"/>
      <c r="AH501" s="823"/>
      <c r="AI501" s="823"/>
      <c r="AJ501" s="823"/>
      <c r="AK501" s="807"/>
      <c r="AL501" s="807"/>
      <c r="AM501" s="807"/>
      <c r="AN501" s="807"/>
      <c r="AO501" s="807"/>
      <c r="AP501" s="807"/>
      <c r="AQ501" s="807"/>
      <c r="AR501" s="807"/>
      <c r="AS501" s="807"/>
      <c r="AT501" s="807"/>
      <c r="AU501" s="807"/>
      <c r="AV501" s="807"/>
      <c r="AW501" s="807"/>
      <c r="AX501" s="807"/>
      <c r="AY501" s="807"/>
    </row>
    <row r="502" spans="1:51" ht="19.149999999999999" customHeight="1" x14ac:dyDescent="0.25">
      <c r="A502" s="828"/>
      <c r="B502" s="822"/>
      <c r="C502" s="824" t="s">
        <v>820</v>
      </c>
      <c r="D502" s="572" t="s">
        <v>345</v>
      </c>
      <c r="E502" s="582"/>
      <c r="F502" s="582"/>
      <c r="G502" s="582"/>
      <c r="H502" s="582"/>
      <c r="I502" s="580"/>
      <c r="J502" s="580"/>
      <c r="K502" s="598"/>
      <c r="L502" s="580"/>
      <c r="M502" s="580"/>
      <c r="N502" s="592"/>
      <c r="O502" s="618">
        <v>2</v>
      </c>
      <c r="P502" s="580">
        <v>2</v>
      </c>
      <c r="Q502" s="620">
        <v>2</v>
      </c>
      <c r="R502" s="620">
        <v>2</v>
      </c>
      <c r="S502" s="620"/>
      <c r="T502" s="620"/>
      <c r="U502" s="580">
        <v>0</v>
      </c>
      <c r="V502" s="580">
        <v>0</v>
      </c>
      <c r="W502" s="580">
        <v>0</v>
      </c>
      <c r="X502" s="593">
        <v>0</v>
      </c>
      <c r="Y502" s="593">
        <v>0</v>
      </c>
      <c r="Z502" s="580">
        <f t="shared" si="135"/>
        <v>0</v>
      </c>
      <c r="AA502" s="580">
        <f t="shared" si="135"/>
        <v>0</v>
      </c>
      <c r="AB502" s="575">
        <f t="shared" si="135"/>
        <v>2</v>
      </c>
      <c r="AC502" s="575">
        <f t="shared" si="135"/>
        <v>2</v>
      </c>
      <c r="AD502" s="575">
        <f t="shared" si="135"/>
        <v>2</v>
      </c>
      <c r="AE502" s="620">
        <f t="shared" si="135"/>
        <v>2</v>
      </c>
      <c r="AF502" s="864" t="s">
        <v>821</v>
      </c>
      <c r="AG502" s="835" t="str">
        <f>+C502</f>
        <v>17- LA CANDELARIA</v>
      </c>
      <c r="AH502" s="865" t="s">
        <v>509</v>
      </c>
      <c r="AI502" s="865" t="s">
        <v>822</v>
      </c>
      <c r="AJ502" s="824" t="s">
        <v>751</v>
      </c>
      <c r="AK502" s="826" t="s">
        <v>490</v>
      </c>
      <c r="AL502" s="826" t="s">
        <v>765</v>
      </c>
      <c r="AM502" s="826" t="s">
        <v>752</v>
      </c>
      <c r="AN502" s="861">
        <v>18409</v>
      </c>
      <c r="AO502" s="820">
        <v>9361</v>
      </c>
      <c r="AP502" s="820">
        <v>9048</v>
      </c>
      <c r="AQ502" s="833" t="s">
        <v>492</v>
      </c>
      <c r="AR502" s="833" t="s">
        <v>492</v>
      </c>
      <c r="AS502" s="833" t="s">
        <v>492</v>
      </c>
      <c r="AT502" s="833" t="s">
        <v>492</v>
      </c>
      <c r="AU502" s="833" t="s">
        <v>492</v>
      </c>
      <c r="AV502" s="833" t="s">
        <v>492</v>
      </c>
      <c r="AW502" s="833" t="s">
        <v>492</v>
      </c>
      <c r="AX502" s="861">
        <v>633874</v>
      </c>
      <c r="AY502" s="866" t="s">
        <v>823</v>
      </c>
    </row>
    <row r="503" spans="1:51" ht="19.149999999999999" customHeight="1" x14ac:dyDescent="0.25">
      <c r="A503" s="828"/>
      <c r="B503" s="822"/>
      <c r="C503" s="822"/>
      <c r="D503" s="578" t="s">
        <v>349</v>
      </c>
      <c r="E503" s="583"/>
      <c r="F503" s="583"/>
      <c r="G503" s="583"/>
      <c r="H503" s="583"/>
      <c r="I503" s="575"/>
      <c r="J503" s="575"/>
      <c r="K503" s="619"/>
      <c r="L503" s="575"/>
      <c r="M503" s="575"/>
      <c r="N503" s="583"/>
      <c r="O503" s="582">
        <f>+O502*$AB$395/$AB$394</f>
        <v>9051200</v>
      </c>
      <c r="P503" s="580">
        <f>+P502*$AC$395/$AC$394</f>
        <v>7405527.2727272725</v>
      </c>
      <c r="Q503" s="580">
        <f>+Q502*$AD$395/$AD$394</f>
        <v>6266215.384615385</v>
      </c>
      <c r="R503" s="580">
        <f>+R502*$AE$395/$AE$394</f>
        <v>6388004.3793103453</v>
      </c>
      <c r="S503" s="580"/>
      <c r="T503" s="615"/>
      <c r="U503" s="580">
        <v>0</v>
      </c>
      <c r="V503" s="580">
        <v>0</v>
      </c>
      <c r="W503" s="580">
        <v>0</v>
      </c>
      <c r="X503" s="593">
        <v>0</v>
      </c>
      <c r="Y503" s="593">
        <v>0</v>
      </c>
      <c r="Z503" s="580">
        <f t="shared" si="135"/>
        <v>0</v>
      </c>
      <c r="AA503" s="580">
        <f t="shared" si="135"/>
        <v>0</v>
      </c>
      <c r="AB503" s="575">
        <f t="shared" si="135"/>
        <v>9051200</v>
      </c>
      <c r="AC503" s="575">
        <f t="shared" si="135"/>
        <v>7405527.2727272725</v>
      </c>
      <c r="AD503" s="575">
        <f t="shared" si="135"/>
        <v>6266215.384615385</v>
      </c>
      <c r="AE503" s="580">
        <f t="shared" si="135"/>
        <v>6388004.3793103453</v>
      </c>
      <c r="AF503" s="838"/>
      <c r="AG503" s="828"/>
      <c r="AH503" s="822"/>
      <c r="AI503" s="822"/>
      <c r="AJ503" s="822"/>
      <c r="AK503" s="806"/>
      <c r="AL503" s="806"/>
      <c r="AM503" s="806"/>
      <c r="AN503" s="806"/>
      <c r="AO503" s="806"/>
      <c r="AP503" s="806"/>
      <c r="AQ503" s="806"/>
      <c r="AR503" s="806"/>
      <c r="AS503" s="806"/>
      <c r="AT503" s="806"/>
      <c r="AU503" s="806"/>
      <c r="AV503" s="806"/>
      <c r="AW503" s="806"/>
      <c r="AX503" s="806"/>
      <c r="AY503" s="806"/>
    </row>
    <row r="504" spans="1:51" ht="28.9" customHeight="1" x14ac:dyDescent="0.25">
      <c r="A504" s="828"/>
      <c r="B504" s="822"/>
      <c r="C504" s="822"/>
      <c r="D504" s="579" t="s">
        <v>351</v>
      </c>
      <c r="E504" s="583"/>
      <c r="F504" s="583"/>
      <c r="G504" s="583"/>
      <c r="H504" s="583"/>
      <c r="I504" s="575"/>
      <c r="J504" s="575"/>
      <c r="K504" s="619"/>
      <c r="L504" s="575"/>
      <c r="M504" s="575"/>
      <c r="N504" s="573"/>
      <c r="O504" s="613"/>
      <c r="P504" s="620"/>
      <c r="Q504" s="615"/>
      <c r="R504" s="615"/>
      <c r="S504" s="615"/>
      <c r="T504" s="615"/>
      <c r="U504" s="580">
        <v>0</v>
      </c>
      <c r="V504" s="580">
        <v>0</v>
      </c>
      <c r="W504" s="580">
        <v>0</v>
      </c>
      <c r="X504" s="593">
        <v>0</v>
      </c>
      <c r="Y504" s="593">
        <v>0</v>
      </c>
      <c r="Z504" s="580">
        <f t="shared" si="135"/>
        <v>0</v>
      </c>
      <c r="AA504" s="580">
        <f t="shared" si="135"/>
        <v>0</v>
      </c>
      <c r="AB504" s="575">
        <f t="shared" si="135"/>
        <v>0</v>
      </c>
      <c r="AC504" s="575">
        <f t="shared" si="135"/>
        <v>0</v>
      </c>
      <c r="AD504" s="575">
        <f t="shared" si="135"/>
        <v>0</v>
      </c>
      <c r="AE504" s="615">
        <f t="shared" si="135"/>
        <v>0</v>
      </c>
      <c r="AF504" s="838"/>
      <c r="AG504" s="828"/>
      <c r="AH504" s="822"/>
      <c r="AI504" s="822"/>
      <c r="AJ504" s="822"/>
      <c r="AK504" s="806"/>
      <c r="AL504" s="806"/>
      <c r="AM504" s="806"/>
      <c r="AN504" s="806"/>
      <c r="AO504" s="806"/>
      <c r="AP504" s="806"/>
      <c r="AQ504" s="806"/>
      <c r="AR504" s="806"/>
      <c r="AS504" s="806"/>
      <c r="AT504" s="806"/>
      <c r="AU504" s="806"/>
      <c r="AV504" s="806"/>
      <c r="AW504" s="806"/>
      <c r="AX504" s="806"/>
      <c r="AY504" s="806"/>
    </row>
    <row r="505" spans="1:51" ht="28.9" customHeight="1" x14ac:dyDescent="0.25">
      <c r="A505" s="828"/>
      <c r="B505" s="822"/>
      <c r="C505" s="822"/>
      <c r="D505" s="578" t="s">
        <v>352</v>
      </c>
      <c r="E505" s="583"/>
      <c r="F505" s="583"/>
      <c r="G505" s="583"/>
      <c r="H505" s="583"/>
      <c r="I505" s="575"/>
      <c r="J505" s="575"/>
      <c r="K505" s="619"/>
      <c r="L505" s="575"/>
      <c r="M505" s="575"/>
      <c r="N505" s="583"/>
      <c r="O505" s="613"/>
      <c r="P505" s="615">
        <v>3481981.5</v>
      </c>
      <c r="Q505" s="615">
        <v>3481981.5</v>
      </c>
      <c r="R505" s="615">
        <v>3481981.5</v>
      </c>
      <c r="S505" s="615"/>
      <c r="T505" s="615"/>
      <c r="U505" s="580">
        <v>0</v>
      </c>
      <c r="V505" s="580">
        <v>0</v>
      </c>
      <c r="W505" s="580">
        <v>0</v>
      </c>
      <c r="X505" s="593">
        <v>0</v>
      </c>
      <c r="Y505" s="593">
        <v>0</v>
      </c>
      <c r="Z505" s="580">
        <f t="shared" si="135"/>
        <v>0</v>
      </c>
      <c r="AA505" s="580">
        <f t="shared" si="135"/>
        <v>0</v>
      </c>
      <c r="AB505" s="575">
        <f t="shared" si="135"/>
        <v>0</v>
      </c>
      <c r="AC505" s="575">
        <f t="shared" si="135"/>
        <v>3481981.5</v>
      </c>
      <c r="AD505" s="575">
        <f t="shared" si="135"/>
        <v>3481981.5</v>
      </c>
      <c r="AE505" s="615">
        <f t="shared" si="135"/>
        <v>3481981.5</v>
      </c>
      <c r="AF505" s="838"/>
      <c r="AG505" s="828"/>
      <c r="AH505" s="822"/>
      <c r="AI505" s="822"/>
      <c r="AJ505" s="822"/>
      <c r="AK505" s="806"/>
      <c r="AL505" s="806"/>
      <c r="AM505" s="806"/>
      <c r="AN505" s="806"/>
      <c r="AO505" s="806"/>
      <c r="AP505" s="806"/>
      <c r="AQ505" s="806"/>
      <c r="AR505" s="806"/>
      <c r="AS505" s="806"/>
      <c r="AT505" s="806"/>
      <c r="AU505" s="806"/>
      <c r="AV505" s="806"/>
      <c r="AW505" s="806"/>
      <c r="AX505" s="806"/>
      <c r="AY505" s="806"/>
    </row>
    <row r="506" spans="1:51" ht="28.9" customHeight="1" x14ac:dyDescent="0.25">
      <c r="A506" s="828"/>
      <c r="B506" s="822"/>
      <c r="C506" s="822"/>
      <c r="D506" s="579" t="s">
        <v>353</v>
      </c>
      <c r="E506" s="582"/>
      <c r="F506" s="582"/>
      <c r="G506" s="582"/>
      <c r="H506" s="582"/>
      <c r="I506" s="580"/>
      <c r="J506" s="580"/>
      <c r="K506" s="598"/>
      <c r="L506" s="580"/>
      <c r="M506" s="580"/>
      <c r="N506" s="582"/>
      <c r="O506" s="618">
        <v>2</v>
      </c>
      <c r="P506" s="580">
        <v>2</v>
      </c>
      <c r="Q506" s="620">
        <v>2</v>
      </c>
      <c r="R506" s="620">
        <v>2</v>
      </c>
      <c r="S506" s="620"/>
      <c r="T506" s="620"/>
      <c r="U506" s="580">
        <v>0</v>
      </c>
      <c r="V506" s="580">
        <v>0</v>
      </c>
      <c r="W506" s="580">
        <v>0</v>
      </c>
      <c r="X506" s="593">
        <v>0</v>
      </c>
      <c r="Y506" s="593">
        <v>0</v>
      </c>
      <c r="Z506" s="580">
        <f t="shared" si="135"/>
        <v>0</v>
      </c>
      <c r="AA506" s="580">
        <f t="shared" si="135"/>
        <v>0</v>
      </c>
      <c r="AB506" s="575">
        <f t="shared" si="135"/>
        <v>2</v>
      </c>
      <c r="AC506" s="575">
        <f t="shared" si="135"/>
        <v>2</v>
      </c>
      <c r="AD506" s="575">
        <f t="shared" si="135"/>
        <v>2</v>
      </c>
      <c r="AE506" s="620">
        <f t="shared" si="135"/>
        <v>2</v>
      </c>
      <c r="AF506" s="838"/>
      <c r="AG506" s="828"/>
      <c r="AH506" s="822"/>
      <c r="AI506" s="822"/>
      <c r="AJ506" s="822"/>
      <c r="AK506" s="806"/>
      <c r="AL506" s="806"/>
      <c r="AM506" s="806"/>
      <c r="AN506" s="806"/>
      <c r="AO506" s="806"/>
      <c r="AP506" s="806"/>
      <c r="AQ506" s="806"/>
      <c r="AR506" s="806"/>
      <c r="AS506" s="806"/>
      <c r="AT506" s="806"/>
      <c r="AU506" s="806"/>
      <c r="AV506" s="806"/>
      <c r="AW506" s="806"/>
      <c r="AX506" s="806"/>
      <c r="AY506" s="806"/>
    </row>
    <row r="507" spans="1:51" ht="28.9" customHeight="1" x14ac:dyDescent="0.25">
      <c r="A507" s="828"/>
      <c r="B507" s="822"/>
      <c r="C507" s="823"/>
      <c r="D507" s="578" t="s">
        <v>354</v>
      </c>
      <c r="E507" s="597"/>
      <c r="F507" s="597"/>
      <c r="G507" s="597"/>
      <c r="H507" s="583"/>
      <c r="I507" s="575"/>
      <c r="J507" s="575"/>
      <c r="K507" s="621"/>
      <c r="L507" s="596"/>
      <c r="M507" s="596"/>
      <c r="N507" s="597"/>
      <c r="O507" s="597">
        <f t="shared" ref="O507:R507" si="137">+O503+O505</f>
        <v>9051200</v>
      </c>
      <c r="P507" s="596">
        <f t="shared" si="137"/>
        <v>10887508.772727273</v>
      </c>
      <c r="Q507" s="596">
        <f t="shared" si="137"/>
        <v>9748196.884615384</v>
      </c>
      <c r="R507" s="596">
        <f t="shared" si="137"/>
        <v>9869985.8793103453</v>
      </c>
      <c r="S507" s="596"/>
      <c r="T507" s="620"/>
      <c r="U507" s="580">
        <v>0</v>
      </c>
      <c r="V507" s="580">
        <v>0</v>
      </c>
      <c r="W507" s="580">
        <v>0</v>
      </c>
      <c r="X507" s="593">
        <v>0</v>
      </c>
      <c r="Y507" s="593">
        <v>0</v>
      </c>
      <c r="Z507" s="580">
        <f t="shared" si="135"/>
        <v>0</v>
      </c>
      <c r="AA507" s="580">
        <f t="shared" si="135"/>
        <v>0</v>
      </c>
      <c r="AB507" s="575">
        <f t="shared" si="135"/>
        <v>9051200</v>
      </c>
      <c r="AC507" s="575">
        <f t="shared" si="135"/>
        <v>10887508.772727273</v>
      </c>
      <c r="AD507" s="575">
        <f t="shared" si="135"/>
        <v>9748196.884615384</v>
      </c>
      <c r="AE507" s="596">
        <f t="shared" si="135"/>
        <v>9869985.8793103453</v>
      </c>
      <c r="AF507" s="839"/>
      <c r="AG507" s="829"/>
      <c r="AH507" s="823"/>
      <c r="AI507" s="823"/>
      <c r="AJ507" s="823"/>
      <c r="AK507" s="807"/>
      <c r="AL507" s="807"/>
      <c r="AM507" s="807"/>
      <c r="AN507" s="807"/>
      <c r="AO507" s="807"/>
      <c r="AP507" s="807"/>
      <c r="AQ507" s="807"/>
      <c r="AR507" s="807"/>
      <c r="AS507" s="807"/>
      <c r="AT507" s="807"/>
      <c r="AU507" s="807"/>
      <c r="AV507" s="807"/>
      <c r="AW507" s="807"/>
      <c r="AX507" s="807"/>
      <c r="AY507" s="807"/>
    </row>
    <row r="508" spans="1:51" ht="19.149999999999999" customHeight="1" x14ac:dyDescent="0.25">
      <c r="A508" s="828"/>
      <c r="B508" s="822"/>
      <c r="C508" s="837" t="s">
        <v>824</v>
      </c>
      <c r="D508" s="572" t="s">
        <v>345</v>
      </c>
      <c r="E508" s="582"/>
      <c r="F508" s="582"/>
      <c r="G508" s="582"/>
      <c r="H508" s="582"/>
      <c r="I508" s="580"/>
      <c r="J508" s="580"/>
      <c r="K508" s="598"/>
      <c r="L508" s="580"/>
      <c r="M508" s="580"/>
      <c r="N508" s="592"/>
      <c r="O508" s="618"/>
      <c r="P508" s="580"/>
      <c r="Q508" s="620">
        <v>1</v>
      </c>
      <c r="R508" s="620">
        <v>1</v>
      </c>
      <c r="S508" s="620"/>
      <c r="T508" s="620"/>
      <c r="U508" s="580">
        <v>0</v>
      </c>
      <c r="V508" s="580">
        <v>0</v>
      </c>
      <c r="W508" s="580">
        <v>0</v>
      </c>
      <c r="X508" s="593">
        <v>0</v>
      </c>
      <c r="Y508" s="593">
        <v>0</v>
      </c>
      <c r="Z508" s="580">
        <f t="shared" si="135"/>
        <v>0</v>
      </c>
      <c r="AA508" s="580">
        <f t="shared" si="135"/>
        <v>0</v>
      </c>
      <c r="AB508" s="575">
        <f t="shared" si="135"/>
        <v>0</v>
      </c>
      <c r="AC508" s="575">
        <f t="shared" si="135"/>
        <v>0</v>
      </c>
      <c r="AD508" s="575">
        <f t="shared" si="135"/>
        <v>1</v>
      </c>
      <c r="AE508" s="620">
        <f t="shared" si="135"/>
        <v>1</v>
      </c>
      <c r="AF508" s="852" t="s">
        <v>825</v>
      </c>
      <c r="AG508" s="835" t="str">
        <f>+C508</f>
        <v>18- RAFAEL URIBE URIBE</v>
      </c>
      <c r="AH508" s="824" t="s">
        <v>826</v>
      </c>
      <c r="AI508" s="865" t="s">
        <v>827</v>
      </c>
      <c r="AJ508" s="824" t="s">
        <v>751</v>
      </c>
      <c r="AK508" s="826" t="s">
        <v>490</v>
      </c>
      <c r="AL508" s="826" t="s">
        <v>765</v>
      </c>
      <c r="AM508" s="826" t="s">
        <v>752</v>
      </c>
      <c r="AN508" s="861">
        <v>389238</v>
      </c>
      <c r="AO508" s="820">
        <v>191448</v>
      </c>
      <c r="AP508" s="820">
        <v>197790</v>
      </c>
      <c r="AQ508" s="833" t="s">
        <v>492</v>
      </c>
      <c r="AR508" s="833" t="s">
        <v>492</v>
      </c>
      <c r="AS508" s="833" t="s">
        <v>492</v>
      </c>
      <c r="AT508" s="833" t="s">
        <v>492</v>
      </c>
      <c r="AU508" s="833" t="s">
        <v>492</v>
      </c>
      <c r="AV508" s="833" t="s">
        <v>492</v>
      </c>
      <c r="AW508" s="833" t="s">
        <v>492</v>
      </c>
      <c r="AX508" s="820">
        <v>8185614</v>
      </c>
      <c r="AY508" s="866" t="s">
        <v>828</v>
      </c>
    </row>
    <row r="509" spans="1:51" ht="19.149999999999999" customHeight="1" x14ac:dyDescent="0.25">
      <c r="A509" s="828"/>
      <c r="B509" s="822"/>
      <c r="C509" s="838"/>
      <c r="D509" s="578" t="s">
        <v>349</v>
      </c>
      <c r="E509" s="583"/>
      <c r="F509" s="583"/>
      <c r="G509" s="583"/>
      <c r="H509" s="583"/>
      <c r="I509" s="575"/>
      <c r="J509" s="575"/>
      <c r="K509" s="619"/>
      <c r="L509" s="575"/>
      <c r="M509" s="575"/>
      <c r="N509" s="583"/>
      <c r="O509" s="613"/>
      <c r="P509" s="615"/>
      <c r="Q509" s="580">
        <f>+Q508*$AD$395/$AD$394</f>
        <v>3133107.6923076925</v>
      </c>
      <c r="R509" s="580">
        <f>+R508*$AE$395/$AE$394</f>
        <v>3194002.1896551726</v>
      </c>
      <c r="S509" s="580"/>
      <c r="T509" s="615"/>
      <c r="U509" s="580">
        <v>0</v>
      </c>
      <c r="V509" s="580">
        <v>0</v>
      </c>
      <c r="W509" s="580">
        <v>0</v>
      </c>
      <c r="X509" s="593">
        <v>0</v>
      </c>
      <c r="Y509" s="593">
        <v>0</v>
      </c>
      <c r="Z509" s="580">
        <f t="shared" si="135"/>
        <v>0</v>
      </c>
      <c r="AA509" s="580">
        <f t="shared" si="135"/>
        <v>0</v>
      </c>
      <c r="AB509" s="575">
        <f t="shared" si="135"/>
        <v>0</v>
      </c>
      <c r="AC509" s="575">
        <f t="shared" si="135"/>
        <v>0</v>
      </c>
      <c r="AD509" s="575">
        <f t="shared" si="135"/>
        <v>3133107.6923076925</v>
      </c>
      <c r="AE509" s="580">
        <f t="shared" si="135"/>
        <v>3194002.1896551726</v>
      </c>
      <c r="AF509" s="838"/>
      <c r="AG509" s="828"/>
      <c r="AH509" s="822"/>
      <c r="AI509" s="822"/>
      <c r="AJ509" s="822"/>
      <c r="AK509" s="806"/>
      <c r="AL509" s="806"/>
      <c r="AM509" s="806"/>
      <c r="AN509" s="806"/>
      <c r="AO509" s="806"/>
      <c r="AP509" s="806"/>
      <c r="AQ509" s="806"/>
      <c r="AR509" s="806"/>
      <c r="AS509" s="806"/>
      <c r="AT509" s="806"/>
      <c r="AU509" s="806"/>
      <c r="AV509" s="806"/>
      <c r="AW509" s="806"/>
      <c r="AX509" s="806"/>
      <c r="AY509" s="806"/>
    </row>
    <row r="510" spans="1:51" ht="28.9" customHeight="1" x14ac:dyDescent="0.25">
      <c r="A510" s="828"/>
      <c r="B510" s="822"/>
      <c r="C510" s="838"/>
      <c r="D510" s="579" t="s">
        <v>351</v>
      </c>
      <c r="E510" s="583"/>
      <c r="F510" s="583"/>
      <c r="G510" s="583"/>
      <c r="H510" s="583"/>
      <c r="I510" s="575"/>
      <c r="J510" s="575"/>
      <c r="K510" s="619"/>
      <c r="L510" s="575"/>
      <c r="M510" s="575"/>
      <c r="N510" s="573"/>
      <c r="O510" s="613"/>
      <c r="P510" s="620"/>
      <c r="Q510" s="615"/>
      <c r="R510" s="615"/>
      <c r="S510" s="615"/>
      <c r="T510" s="615"/>
      <c r="U510" s="580">
        <v>0</v>
      </c>
      <c r="V510" s="580">
        <v>0</v>
      </c>
      <c r="W510" s="580">
        <v>0</v>
      </c>
      <c r="X510" s="593">
        <v>0</v>
      </c>
      <c r="Y510" s="593">
        <v>0</v>
      </c>
      <c r="Z510" s="580">
        <f t="shared" si="135"/>
        <v>0</v>
      </c>
      <c r="AA510" s="580">
        <f t="shared" si="135"/>
        <v>0</v>
      </c>
      <c r="AB510" s="575">
        <f t="shared" si="135"/>
        <v>0</v>
      </c>
      <c r="AC510" s="575">
        <f t="shared" si="135"/>
        <v>0</v>
      </c>
      <c r="AD510" s="575">
        <f t="shared" si="135"/>
        <v>0</v>
      </c>
      <c r="AE510" s="615">
        <f t="shared" si="135"/>
        <v>0</v>
      </c>
      <c r="AF510" s="838"/>
      <c r="AG510" s="828"/>
      <c r="AH510" s="822"/>
      <c r="AI510" s="822"/>
      <c r="AJ510" s="822"/>
      <c r="AK510" s="806"/>
      <c r="AL510" s="806"/>
      <c r="AM510" s="806"/>
      <c r="AN510" s="806"/>
      <c r="AO510" s="806"/>
      <c r="AP510" s="806"/>
      <c r="AQ510" s="806"/>
      <c r="AR510" s="806"/>
      <c r="AS510" s="806"/>
      <c r="AT510" s="806"/>
      <c r="AU510" s="806"/>
      <c r="AV510" s="806"/>
      <c r="AW510" s="806"/>
      <c r="AX510" s="806"/>
      <c r="AY510" s="806"/>
    </row>
    <row r="511" spans="1:51" ht="28.9" customHeight="1" x14ac:dyDescent="0.25">
      <c r="A511" s="828"/>
      <c r="B511" s="822"/>
      <c r="C511" s="838"/>
      <c r="D511" s="578" t="s">
        <v>352</v>
      </c>
      <c r="E511" s="583"/>
      <c r="F511" s="583"/>
      <c r="G511" s="583"/>
      <c r="H511" s="583"/>
      <c r="I511" s="575"/>
      <c r="J511" s="575"/>
      <c r="K511" s="619"/>
      <c r="L511" s="575"/>
      <c r="M511" s="575"/>
      <c r="N511" s="583"/>
      <c r="O511" s="613"/>
      <c r="P511" s="615"/>
      <c r="Q511" s="615"/>
      <c r="R511" s="615"/>
      <c r="S511" s="615"/>
      <c r="T511" s="615"/>
      <c r="U511" s="580">
        <v>0</v>
      </c>
      <c r="V511" s="580">
        <v>0</v>
      </c>
      <c r="W511" s="580">
        <v>0</v>
      </c>
      <c r="X511" s="593">
        <v>0</v>
      </c>
      <c r="Y511" s="593">
        <v>0</v>
      </c>
      <c r="Z511" s="580">
        <f t="shared" si="135"/>
        <v>0</v>
      </c>
      <c r="AA511" s="580">
        <f t="shared" si="135"/>
        <v>0</v>
      </c>
      <c r="AB511" s="575">
        <f t="shared" si="135"/>
        <v>0</v>
      </c>
      <c r="AC511" s="575">
        <f t="shared" si="135"/>
        <v>0</v>
      </c>
      <c r="AD511" s="575">
        <f t="shared" si="135"/>
        <v>0</v>
      </c>
      <c r="AE511" s="615">
        <f t="shared" si="135"/>
        <v>0</v>
      </c>
      <c r="AF511" s="838"/>
      <c r="AG511" s="828"/>
      <c r="AH511" s="822"/>
      <c r="AI511" s="822"/>
      <c r="AJ511" s="822"/>
      <c r="AK511" s="806"/>
      <c r="AL511" s="806"/>
      <c r="AM511" s="806"/>
      <c r="AN511" s="806"/>
      <c r="AO511" s="806"/>
      <c r="AP511" s="806"/>
      <c r="AQ511" s="806"/>
      <c r="AR511" s="806"/>
      <c r="AS511" s="806"/>
      <c r="AT511" s="806"/>
      <c r="AU511" s="806"/>
      <c r="AV511" s="806"/>
      <c r="AW511" s="806"/>
      <c r="AX511" s="806"/>
      <c r="AY511" s="806"/>
    </row>
    <row r="512" spans="1:51" ht="28.9" customHeight="1" x14ac:dyDescent="0.25">
      <c r="A512" s="828"/>
      <c r="B512" s="822"/>
      <c r="C512" s="838"/>
      <c r="D512" s="579" t="s">
        <v>353</v>
      </c>
      <c r="E512" s="582"/>
      <c r="F512" s="582"/>
      <c r="G512" s="582"/>
      <c r="H512" s="582"/>
      <c r="I512" s="580"/>
      <c r="J512" s="580"/>
      <c r="K512" s="598"/>
      <c r="L512" s="580"/>
      <c r="M512" s="580"/>
      <c r="N512" s="582"/>
      <c r="O512" s="618"/>
      <c r="P512" s="580"/>
      <c r="Q512" s="620">
        <v>1</v>
      </c>
      <c r="R512" s="620">
        <v>1</v>
      </c>
      <c r="S512" s="620"/>
      <c r="T512" s="620"/>
      <c r="U512" s="580">
        <v>0</v>
      </c>
      <c r="V512" s="580">
        <v>0</v>
      </c>
      <c r="W512" s="580">
        <v>0</v>
      </c>
      <c r="X512" s="593">
        <v>0</v>
      </c>
      <c r="Y512" s="593">
        <v>0</v>
      </c>
      <c r="Z512" s="580">
        <f t="shared" ref="Z512:AE519" si="138">+M512</f>
        <v>0</v>
      </c>
      <c r="AA512" s="580">
        <f t="shared" si="138"/>
        <v>0</v>
      </c>
      <c r="AB512" s="575">
        <f t="shared" si="138"/>
        <v>0</v>
      </c>
      <c r="AC512" s="575">
        <f t="shared" si="138"/>
        <v>0</v>
      </c>
      <c r="AD512" s="575">
        <f t="shared" si="138"/>
        <v>1</v>
      </c>
      <c r="AE512" s="620">
        <f t="shared" si="138"/>
        <v>1</v>
      </c>
      <c r="AF512" s="838"/>
      <c r="AG512" s="828"/>
      <c r="AH512" s="822"/>
      <c r="AI512" s="822"/>
      <c r="AJ512" s="822"/>
      <c r="AK512" s="806"/>
      <c r="AL512" s="806"/>
      <c r="AM512" s="806"/>
      <c r="AN512" s="806"/>
      <c r="AO512" s="806"/>
      <c r="AP512" s="806"/>
      <c r="AQ512" s="806"/>
      <c r="AR512" s="806"/>
      <c r="AS512" s="806"/>
      <c r="AT512" s="806"/>
      <c r="AU512" s="806"/>
      <c r="AV512" s="806"/>
      <c r="AW512" s="806"/>
      <c r="AX512" s="806"/>
      <c r="AY512" s="806"/>
    </row>
    <row r="513" spans="1:51" ht="28.9" customHeight="1" x14ac:dyDescent="0.25">
      <c r="A513" s="828"/>
      <c r="B513" s="822"/>
      <c r="C513" s="839"/>
      <c r="D513" s="578" t="s">
        <v>354</v>
      </c>
      <c r="E513" s="597"/>
      <c r="F513" s="597"/>
      <c r="G513" s="597"/>
      <c r="H513" s="597"/>
      <c r="I513" s="596"/>
      <c r="J513" s="596"/>
      <c r="K513" s="621"/>
      <c r="L513" s="596"/>
      <c r="M513" s="596"/>
      <c r="N513" s="597"/>
      <c r="O513" s="618"/>
      <c r="P513" s="620"/>
      <c r="Q513" s="615">
        <f t="shared" ref="Q513:R513" si="139">+Q509</f>
        <v>3133107.6923076925</v>
      </c>
      <c r="R513" s="615">
        <f t="shared" si="139"/>
        <v>3194002.1896551726</v>
      </c>
      <c r="S513" s="615"/>
      <c r="T513" s="620"/>
      <c r="U513" s="580">
        <v>0</v>
      </c>
      <c r="V513" s="580">
        <v>0</v>
      </c>
      <c r="W513" s="580">
        <v>0</v>
      </c>
      <c r="X513" s="593">
        <v>0</v>
      </c>
      <c r="Y513" s="593">
        <v>0</v>
      </c>
      <c r="Z513" s="580">
        <f t="shared" si="138"/>
        <v>0</v>
      </c>
      <c r="AA513" s="580">
        <f t="shared" si="138"/>
        <v>0</v>
      </c>
      <c r="AB513" s="575">
        <f t="shared" si="138"/>
        <v>0</v>
      </c>
      <c r="AC513" s="575">
        <f t="shared" si="138"/>
        <v>0</v>
      </c>
      <c r="AD513" s="575">
        <f t="shared" si="138"/>
        <v>3133107.6923076925</v>
      </c>
      <c r="AE513" s="615">
        <f t="shared" si="138"/>
        <v>3194002.1896551726</v>
      </c>
      <c r="AF513" s="839"/>
      <c r="AG513" s="829"/>
      <c r="AH513" s="823"/>
      <c r="AI513" s="823"/>
      <c r="AJ513" s="823"/>
      <c r="AK513" s="807"/>
      <c r="AL513" s="807"/>
      <c r="AM513" s="807"/>
      <c r="AN513" s="807"/>
      <c r="AO513" s="807"/>
      <c r="AP513" s="807"/>
      <c r="AQ513" s="807"/>
      <c r="AR513" s="807"/>
      <c r="AS513" s="807"/>
      <c r="AT513" s="807"/>
      <c r="AU513" s="807"/>
      <c r="AV513" s="807"/>
      <c r="AW513" s="807"/>
      <c r="AX513" s="807"/>
      <c r="AY513" s="807"/>
    </row>
    <row r="514" spans="1:51" ht="19.149999999999999" customHeight="1" x14ac:dyDescent="0.25">
      <c r="A514" s="828"/>
      <c r="B514" s="822"/>
      <c r="C514" s="824" t="s">
        <v>593</v>
      </c>
      <c r="D514" s="572" t="s">
        <v>345</v>
      </c>
      <c r="E514" s="582"/>
      <c r="F514" s="582"/>
      <c r="G514" s="582"/>
      <c r="H514" s="582">
        <v>1</v>
      </c>
      <c r="I514" s="580">
        <v>3</v>
      </c>
      <c r="J514" s="580">
        <v>3</v>
      </c>
      <c r="K514" s="598">
        <v>5</v>
      </c>
      <c r="L514" s="580">
        <v>6</v>
      </c>
      <c r="M514" s="580">
        <v>6</v>
      </c>
      <c r="N514" s="592">
        <v>6</v>
      </c>
      <c r="O514" s="618">
        <v>7</v>
      </c>
      <c r="P514" s="580">
        <v>9</v>
      </c>
      <c r="Q514" s="620">
        <v>10</v>
      </c>
      <c r="R514" s="620">
        <v>11</v>
      </c>
      <c r="S514" s="620"/>
      <c r="T514" s="620"/>
      <c r="U514" s="580">
        <v>1</v>
      </c>
      <c r="V514" s="580">
        <v>3</v>
      </c>
      <c r="W514" s="580">
        <v>3</v>
      </c>
      <c r="X514" s="593">
        <v>5</v>
      </c>
      <c r="Y514" s="593">
        <v>6</v>
      </c>
      <c r="Z514" s="580">
        <f t="shared" si="138"/>
        <v>6</v>
      </c>
      <c r="AA514" s="580">
        <f t="shared" si="138"/>
        <v>6</v>
      </c>
      <c r="AB514" s="575">
        <f t="shared" si="138"/>
        <v>7</v>
      </c>
      <c r="AC514" s="575">
        <f t="shared" si="138"/>
        <v>9</v>
      </c>
      <c r="AD514" s="575">
        <f t="shared" si="138"/>
        <v>10</v>
      </c>
      <c r="AE514" s="620">
        <f t="shared" si="138"/>
        <v>11</v>
      </c>
      <c r="AF514" s="864" t="s">
        <v>829</v>
      </c>
      <c r="AG514" s="835" t="s">
        <v>593</v>
      </c>
      <c r="AH514" s="865" t="s">
        <v>830</v>
      </c>
      <c r="AI514" s="865" t="s">
        <v>831</v>
      </c>
      <c r="AJ514" s="824" t="s">
        <v>751</v>
      </c>
      <c r="AK514" s="826" t="s">
        <v>490</v>
      </c>
      <c r="AL514" s="826">
        <v>3</v>
      </c>
      <c r="AM514" s="826" t="s">
        <v>752</v>
      </c>
      <c r="AN514" s="861">
        <v>661592</v>
      </c>
      <c r="AO514" s="820">
        <v>329690</v>
      </c>
      <c r="AP514" s="820">
        <v>331902</v>
      </c>
      <c r="AQ514" s="833" t="s">
        <v>492</v>
      </c>
      <c r="AR514" s="833" t="s">
        <v>492</v>
      </c>
      <c r="AS514" s="833" t="s">
        <v>492</v>
      </c>
      <c r="AT514" s="833" t="s">
        <v>492</v>
      </c>
      <c r="AU514" s="833" t="s">
        <v>492</v>
      </c>
      <c r="AV514" s="833" t="s">
        <v>492</v>
      </c>
      <c r="AW514" s="833" t="s">
        <v>492</v>
      </c>
      <c r="AX514" s="861">
        <v>661592</v>
      </c>
      <c r="AY514" s="862" t="s">
        <v>832</v>
      </c>
    </row>
    <row r="515" spans="1:51" ht="19.149999999999999" customHeight="1" x14ac:dyDescent="0.25">
      <c r="A515" s="828"/>
      <c r="B515" s="822"/>
      <c r="C515" s="822"/>
      <c r="D515" s="578" t="s">
        <v>349</v>
      </c>
      <c r="E515" s="583"/>
      <c r="F515" s="583"/>
      <c r="G515" s="583"/>
      <c r="H515" s="582">
        <v>58666000</v>
      </c>
      <c r="I515" s="580">
        <v>58666000</v>
      </c>
      <c r="J515" s="580">
        <v>29333000</v>
      </c>
      <c r="K515" s="580">
        <v>32592222.222222224</v>
      </c>
      <c r="L515" s="580">
        <v>29333000</v>
      </c>
      <c r="M515" s="580">
        <f>+M514*$Z$395/$Z$394</f>
        <v>27076615.384615384</v>
      </c>
      <c r="N515" s="582">
        <f>+N514*$AA$395/$AA$394</f>
        <v>32120442.857142858</v>
      </c>
      <c r="O515" s="582">
        <f>+O514*$AB$395/$AB$394</f>
        <v>31679200</v>
      </c>
      <c r="P515" s="580">
        <f>+P514*$AC$395/$AC$394</f>
        <v>33324872.727272727</v>
      </c>
      <c r="Q515" s="580">
        <f>+Q514*$AD$395/$AD$394</f>
        <v>31331076.923076924</v>
      </c>
      <c r="R515" s="580">
        <f>+R514*$AE$395/$AE$394</f>
        <v>35134024.086206898</v>
      </c>
      <c r="S515" s="580"/>
      <c r="T515" s="615"/>
      <c r="U515" s="580">
        <v>58666000</v>
      </c>
      <c r="V515" s="580">
        <v>58666000</v>
      </c>
      <c r="W515" s="580">
        <v>29333000</v>
      </c>
      <c r="X515" s="593">
        <v>32592222.222222224</v>
      </c>
      <c r="Y515" s="593">
        <v>29333000</v>
      </c>
      <c r="Z515" s="580">
        <f t="shared" si="138"/>
        <v>27076615.384615384</v>
      </c>
      <c r="AA515" s="580">
        <f t="shared" si="138"/>
        <v>32120442.857142858</v>
      </c>
      <c r="AB515" s="575">
        <f t="shared" si="138"/>
        <v>31679200</v>
      </c>
      <c r="AC515" s="575">
        <f t="shared" si="138"/>
        <v>33324872.727272727</v>
      </c>
      <c r="AD515" s="575">
        <f t="shared" si="138"/>
        <v>31331076.923076924</v>
      </c>
      <c r="AE515" s="580">
        <f t="shared" si="138"/>
        <v>35134024.086206898</v>
      </c>
      <c r="AF515" s="838"/>
      <c r="AG515" s="828"/>
      <c r="AH515" s="822"/>
      <c r="AI515" s="822"/>
      <c r="AJ515" s="822"/>
      <c r="AK515" s="806"/>
      <c r="AL515" s="806"/>
      <c r="AM515" s="806"/>
      <c r="AN515" s="806"/>
      <c r="AO515" s="806"/>
      <c r="AP515" s="806"/>
      <c r="AQ515" s="806"/>
      <c r="AR515" s="806"/>
      <c r="AS515" s="806"/>
      <c r="AT515" s="806"/>
      <c r="AU515" s="806"/>
      <c r="AV515" s="806"/>
      <c r="AW515" s="806"/>
      <c r="AX515" s="806"/>
      <c r="AY515" s="806"/>
    </row>
    <row r="516" spans="1:51" ht="28.9" customHeight="1" x14ac:dyDescent="0.25">
      <c r="A516" s="828"/>
      <c r="B516" s="822"/>
      <c r="C516" s="822"/>
      <c r="D516" s="579" t="s">
        <v>351</v>
      </c>
      <c r="E516" s="583"/>
      <c r="F516" s="583"/>
      <c r="G516" s="583"/>
      <c r="H516" s="583"/>
      <c r="I516" s="575"/>
      <c r="J516" s="575"/>
      <c r="K516" s="619"/>
      <c r="L516" s="575"/>
      <c r="M516" s="575"/>
      <c r="N516" s="573"/>
      <c r="O516" s="613"/>
      <c r="P516" s="620"/>
      <c r="Q516" s="615"/>
      <c r="R516" s="615"/>
      <c r="S516" s="615"/>
      <c r="T516" s="615"/>
      <c r="U516" s="580">
        <v>0</v>
      </c>
      <c r="V516" s="580">
        <v>0</v>
      </c>
      <c r="W516" s="580">
        <v>0</v>
      </c>
      <c r="X516" s="593">
        <v>0</v>
      </c>
      <c r="Y516" s="593">
        <v>0</v>
      </c>
      <c r="Z516" s="580">
        <f t="shared" si="138"/>
        <v>0</v>
      </c>
      <c r="AA516" s="580">
        <f t="shared" si="138"/>
        <v>0</v>
      </c>
      <c r="AB516" s="575">
        <f t="shared" si="138"/>
        <v>0</v>
      </c>
      <c r="AC516" s="575">
        <f t="shared" si="138"/>
        <v>0</v>
      </c>
      <c r="AD516" s="575">
        <f t="shared" si="138"/>
        <v>0</v>
      </c>
      <c r="AE516" s="615">
        <f t="shared" si="138"/>
        <v>0</v>
      </c>
      <c r="AF516" s="838"/>
      <c r="AG516" s="828"/>
      <c r="AH516" s="822"/>
      <c r="AI516" s="822"/>
      <c r="AJ516" s="822"/>
      <c r="AK516" s="806"/>
      <c r="AL516" s="806"/>
      <c r="AM516" s="806"/>
      <c r="AN516" s="806"/>
      <c r="AO516" s="806"/>
      <c r="AP516" s="806"/>
      <c r="AQ516" s="806"/>
      <c r="AR516" s="806"/>
      <c r="AS516" s="806"/>
      <c r="AT516" s="806"/>
      <c r="AU516" s="806"/>
      <c r="AV516" s="806"/>
      <c r="AW516" s="806"/>
      <c r="AX516" s="806"/>
      <c r="AY516" s="806"/>
    </row>
    <row r="517" spans="1:51" ht="28.9" customHeight="1" x14ac:dyDescent="0.25">
      <c r="A517" s="828"/>
      <c r="B517" s="822"/>
      <c r="C517" s="822"/>
      <c r="D517" s="578" t="s">
        <v>352</v>
      </c>
      <c r="E517" s="583"/>
      <c r="F517" s="583"/>
      <c r="G517" s="583"/>
      <c r="H517" s="583">
        <v>9636358</v>
      </c>
      <c r="I517" s="575">
        <v>5506490.2857142854</v>
      </c>
      <c r="J517" s="575">
        <v>5506490.2857142854</v>
      </c>
      <c r="K517" s="575">
        <v>2901193.5</v>
      </c>
      <c r="L517" s="575">
        <v>2901193.5</v>
      </c>
      <c r="M517" s="575">
        <v>2917277.1428571427</v>
      </c>
      <c r="N517" s="583">
        <v>2917277.1428571427</v>
      </c>
      <c r="O517" s="583">
        <v>2917277.1428571427</v>
      </c>
      <c r="P517" s="615">
        <v>3481981.5</v>
      </c>
      <c r="Q517" s="615">
        <v>3481981.5</v>
      </c>
      <c r="R517" s="615">
        <v>3481981.5</v>
      </c>
      <c r="S517" s="615"/>
      <c r="T517" s="615"/>
      <c r="U517" s="580">
        <v>9636358</v>
      </c>
      <c r="V517" s="580">
        <v>5506490.2857142854</v>
      </c>
      <c r="W517" s="580">
        <v>5506490.2857142854</v>
      </c>
      <c r="X517" s="593">
        <v>2901193.5</v>
      </c>
      <c r="Y517" s="593">
        <v>2901193.5</v>
      </c>
      <c r="Z517" s="580">
        <f t="shared" si="138"/>
        <v>2917277.1428571427</v>
      </c>
      <c r="AA517" s="580">
        <f t="shared" si="138"/>
        <v>2917277.1428571427</v>
      </c>
      <c r="AB517" s="575">
        <f t="shared" si="138"/>
        <v>2917277.1428571427</v>
      </c>
      <c r="AC517" s="575">
        <f t="shared" si="138"/>
        <v>3481981.5</v>
      </c>
      <c r="AD517" s="575">
        <f t="shared" si="138"/>
        <v>3481981.5</v>
      </c>
      <c r="AE517" s="615">
        <f t="shared" si="138"/>
        <v>3481981.5</v>
      </c>
      <c r="AF517" s="838"/>
      <c r="AG517" s="828"/>
      <c r="AH517" s="822"/>
      <c r="AI517" s="822"/>
      <c r="AJ517" s="822"/>
      <c r="AK517" s="806"/>
      <c r="AL517" s="806"/>
      <c r="AM517" s="806"/>
      <c r="AN517" s="806"/>
      <c r="AO517" s="806"/>
      <c r="AP517" s="806"/>
      <c r="AQ517" s="806"/>
      <c r="AR517" s="806"/>
      <c r="AS517" s="806"/>
      <c r="AT517" s="806"/>
      <c r="AU517" s="806"/>
      <c r="AV517" s="806"/>
      <c r="AW517" s="806"/>
      <c r="AX517" s="806"/>
      <c r="AY517" s="806"/>
    </row>
    <row r="518" spans="1:51" ht="28.9" customHeight="1" x14ac:dyDescent="0.25">
      <c r="A518" s="828"/>
      <c r="B518" s="822"/>
      <c r="C518" s="822"/>
      <c r="D518" s="579" t="s">
        <v>353</v>
      </c>
      <c r="E518" s="582"/>
      <c r="F518" s="582"/>
      <c r="G518" s="582"/>
      <c r="H518" s="582">
        <v>1</v>
      </c>
      <c r="I518" s="580">
        <v>3</v>
      </c>
      <c r="J518" s="580">
        <v>3</v>
      </c>
      <c r="K518" s="598">
        <v>5</v>
      </c>
      <c r="L518" s="580">
        <v>6</v>
      </c>
      <c r="M518" s="580">
        <v>6</v>
      </c>
      <c r="N518" s="582">
        <v>6</v>
      </c>
      <c r="O518" s="618">
        <v>7</v>
      </c>
      <c r="P518" s="580">
        <v>9</v>
      </c>
      <c r="Q518" s="620">
        <v>10</v>
      </c>
      <c r="R518" s="620">
        <v>11</v>
      </c>
      <c r="S518" s="620"/>
      <c r="T518" s="620"/>
      <c r="U518" s="580">
        <v>1</v>
      </c>
      <c r="V518" s="580">
        <v>3</v>
      </c>
      <c r="W518" s="580">
        <v>3</v>
      </c>
      <c r="X518" s="593">
        <v>5</v>
      </c>
      <c r="Y518" s="593">
        <v>6</v>
      </c>
      <c r="Z518" s="580">
        <f t="shared" si="138"/>
        <v>6</v>
      </c>
      <c r="AA518" s="580">
        <f t="shared" si="138"/>
        <v>6</v>
      </c>
      <c r="AB518" s="575">
        <f t="shared" si="138"/>
        <v>7</v>
      </c>
      <c r="AC518" s="575">
        <f t="shared" si="138"/>
        <v>9</v>
      </c>
      <c r="AD518" s="575">
        <f t="shared" si="138"/>
        <v>10</v>
      </c>
      <c r="AE518" s="620">
        <f t="shared" si="138"/>
        <v>11</v>
      </c>
      <c r="AF518" s="838"/>
      <c r="AG518" s="828"/>
      <c r="AH518" s="822"/>
      <c r="AI518" s="822"/>
      <c r="AJ518" s="822"/>
      <c r="AK518" s="806"/>
      <c r="AL518" s="806"/>
      <c r="AM518" s="806"/>
      <c r="AN518" s="806"/>
      <c r="AO518" s="806"/>
      <c r="AP518" s="806"/>
      <c r="AQ518" s="806"/>
      <c r="AR518" s="806"/>
      <c r="AS518" s="806"/>
      <c r="AT518" s="806"/>
      <c r="AU518" s="806"/>
      <c r="AV518" s="806"/>
      <c r="AW518" s="806"/>
      <c r="AX518" s="806"/>
      <c r="AY518" s="806"/>
    </row>
    <row r="519" spans="1:51" ht="28.9" customHeight="1" x14ac:dyDescent="0.25">
      <c r="A519" s="828"/>
      <c r="B519" s="822"/>
      <c r="C519" s="823"/>
      <c r="D519" s="578" t="s">
        <v>354</v>
      </c>
      <c r="E519" s="597"/>
      <c r="F519" s="597"/>
      <c r="G519" s="583"/>
      <c r="H519" s="583">
        <v>68302358</v>
      </c>
      <c r="I519" s="575">
        <v>64172490.285714284</v>
      </c>
      <c r="J519" s="575">
        <v>34839490.285714284</v>
      </c>
      <c r="K519" s="575">
        <v>35493415.722222224</v>
      </c>
      <c r="L519" s="596">
        <v>32234193.5</v>
      </c>
      <c r="M519" s="596">
        <f t="shared" ref="M519:R519" si="140">+M515+M517</f>
        <v>29993892.527472526</v>
      </c>
      <c r="N519" s="597">
        <f t="shared" si="140"/>
        <v>35037720</v>
      </c>
      <c r="O519" s="597">
        <f t="shared" si="140"/>
        <v>34596477.142857142</v>
      </c>
      <c r="P519" s="596">
        <f t="shared" si="140"/>
        <v>36806854.227272727</v>
      </c>
      <c r="Q519" s="596">
        <f t="shared" si="140"/>
        <v>34813058.423076928</v>
      </c>
      <c r="R519" s="596">
        <f t="shared" si="140"/>
        <v>38616005.586206898</v>
      </c>
      <c r="S519" s="596"/>
      <c r="T519" s="620"/>
      <c r="U519" s="580">
        <v>68302358</v>
      </c>
      <c r="V519" s="580">
        <v>64172490.285714284</v>
      </c>
      <c r="W519" s="580">
        <v>34839490.285714284</v>
      </c>
      <c r="X519" s="593">
        <v>35493415.722222224</v>
      </c>
      <c r="Y519" s="593">
        <v>32234193.5</v>
      </c>
      <c r="Z519" s="580">
        <f t="shared" si="138"/>
        <v>29993892.527472526</v>
      </c>
      <c r="AA519" s="580">
        <f t="shared" si="138"/>
        <v>35037720</v>
      </c>
      <c r="AB519" s="575">
        <f t="shared" si="138"/>
        <v>34596477.142857142</v>
      </c>
      <c r="AC519" s="575">
        <f t="shared" si="138"/>
        <v>36806854.227272727</v>
      </c>
      <c r="AD519" s="575">
        <f t="shared" si="138"/>
        <v>34813058.423076928</v>
      </c>
      <c r="AE519" s="596">
        <f t="shared" si="138"/>
        <v>38616005.586206898</v>
      </c>
      <c r="AF519" s="839"/>
      <c r="AG519" s="829"/>
      <c r="AH519" s="823"/>
      <c r="AI519" s="823"/>
      <c r="AJ519" s="823"/>
      <c r="AK519" s="807"/>
      <c r="AL519" s="807"/>
      <c r="AM519" s="807"/>
      <c r="AN519" s="807"/>
      <c r="AO519" s="807"/>
      <c r="AP519" s="807"/>
      <c r="AQ519" s="807"/>
      <c r="AR519" s="807"/>
      <c r="AS519" s="807"/>
      <c r="AT519" s="807"/>
      <c r="AU519" s="807"/>
      <c r="AV519" s="807"/>
      <c r="AW519" s="807"/>
      <c r="AX519" s="807"/>
      <c r="AY519" s="807"/>
    </row>
    <row r="520" spans="1:51" ht="19.149999999999999" customHeight="1" x14ac:dyDescent="0.25">
      <c r="A520" s="828"/>
      <c r="B520" s="822"/>
      <c r="C520" s="863" t="s">
        <v>598</v>
      </c>
      <c r="D520" s="572" t="s">
        <v>345</v>
      </c>
      <c r="E520" s="582"/>
      <c r="F520" s="582"/>
      <c r="G520" s="582"/>
      <c r="H520" s="582">
        <v>280</v>
      </c>
      <c r="I520" s="580">
        <v>260</v>
      </c>
      <c r="J520" s="580">
        <v>230</v>
      </c>
      <c r="K520" s="598">
        <v>200</v>
      </c>
      <c r="L520" s="580">
        <v>170</v>
      </c>
      <c r="M520" s="580">
        <v>160</v>
      </c>
      <c r="N520" s="582">
        <v>150</v>
      </c>
      <c r="O520" s="618">
        <v>110</v>
      </c>
      <c r="P520" s="576">
        <v>70</v>
      </c>
      <c r="Q520" s="620">
        <v>30</v>
      </c>
      <c r="R520" s="620">
        <v>0</v>
      </c>
      <c r="S520" s="620"/>
      <c r="T520" s="620"/>
      <c r="U520" s="620"/>
      <c r="V520" s="620"/>
      <c r="W520" s="620"/>
      <c r="X520" s="620"/>
      <c r="Y520" s="620"/>
      <c r="Z520" s="620"/>
      <c r="AA520" s="580"/>
      <c r="AB520" s="622"/>
      <c r="AC520" s="576"/>
      <c r="AD520" s="588"/>
      <c r="AE520" s="620"/>
      <c r="AF520" s="666"/>
      <c r="AG520" s="821" t="s">
        <v>833</v>
      </c>
      <c r="AH520" s="824" t="s">
        <v>834</v>
      </c>
      <c r="AI520" s="824" t="s">
        <v>834</v>
      </c>
      <c r="AJ520" s="824" t="s">
        <v>834</v>
      </c>
      <c r="AK520" s="826" t="s">
        <v>490</v>
      </c>
      <c r="AL520" s="826"/>
      <c r="AM520" s="826" t="s">
        <v>752</v>
      </c>
      <c r="AN520" s="820">
        <v>7968095</v>
      </c>
      <c r="AO520" s="820">
        <v>3815676</v>
      </c>
      <c r="AP520" s="820">
        <v>4152419</v>
      </c>
      <c r="AQ520" s="844" t="s">
        <v>492</v>
      </c>
      <c r="AR520" s="844" t="s">
        <v>492</v>
      </c>
      <c r="AS520" s="844" t="s">
        <v>492</v>
      </c>
      <c r="AT520" s="844" t="s">
        <v>492</v>
      </c>
      <c r="AU520" s="805" t="s">
        <v>492</v>
      </c>
      <c r="AV520" s="805" t="s">
        <v>492</v>
      </c>
      <c r="AW520" s="805" t="s">
        <v>492</v>
      </c>
      <c r="AX520" s="808">
        <v>7936534</v>
      </c>
      <c r="AY520" s="600"/>
    </row>
    <row r="521" spans="1:51" ht="19.149999999999999" customHeight="1" x14ac:dyDescent="0.25">
      <c r="A521" s="828"/>
      <c r="B521" s="822"/>
      <c r="C521" s="838"/>
      <c r="D521" s="578" t="s">
        <v>349</v>
      </c>
      <c r="E521" s="582"/>
      <c r="F521" s="582"/>
      <c r="G521" s="583"/>
      <c r="H521" s="582">
        <v>343890000</v>
      </c>
      <c r="I521" s="575">
        <v>343890000</v>
      </c>
      <c r="J521" s="575">
        <v>343890000</v>
      </c>
      <c r="K521" s="575">
        <v>343890000</v>
      </c>
      <c r="L521" s="575">
        <v>343890000</v>
      </c>
      <c r="M521" s="580">
        <f t="shared" ref="M521:R521" si="141">+M395-Z395</f>
        <v>366900100</v>
      </c>
      <c r="N521" s="582">
        <f t="shared" si="141"/>
        <v>204083100</v>
      </c>
      <c r="O521" s="582">
        <f t="shared" si="141"/>
        <v>138952100</v>
      </c>
      <c r="P521" s="580">
        <f t="shared" si="141"/>
        <v>138952100</v>
      </c>
      <c r="Q521" s="580">
        <f t="shared" si="141"/>
        <v>111839699</v>
      </c>
      <c r="R521" s="580">
        <f t="shared" si="141"/>
        <v>187064</v>
      </c>
      <c r="S521" s="580"/>
      <c r="T521" s="620"/>
      <c r="U521" s="620"/>
      <c r="V521" s="620"/>
      <c r="W521" s="620"/>
      <c r="X521" s="620"/>
      <c r="Y521" s="620"/>
      <c r="Z521" s="620"/>
      <c r="AA521" s="580"/>
      <c r="AB521" s="622"/>
      <c r="AC521" s="615"/>
      <c r="AD521" s="588"/>
      <c r="AE521" s="580"/>
      <c r="AF521" s="666"/>
      <c r="AG521" s="822"/>
      <c r="AH521" s="822"/>
      <c r="AI521" s="822"/>
      <c r="AJ521" s="822"/>
      <c r="AK521" s="806"/>
      <c r="AL521" s="806"/>
      <c r="AM521" s="806"/>
      <c r="AN521" s="806"/>
      <c r="AO521" s="806"/>
      <c r="AP521" s="806"/>
      <c r="AQ521" s="806"/>
      <c r="AR521" s="806"/>
      <c r="AS521" s="806"/>
      <c r="AT521" s="806"/>
      <c r="AU521" s="806"/>
      <c r="AV521" s="806"/>
      <c r="AW521" s="806"/>
      <c r="AX521" s="806"/>
      <c r="AY521" s="600"/>
    </row>
    <row r="522" spans="1:51" ht="28.9" customHeight="1" x14ac:dyDescent="0.25">
      <c r="A522" s="828"/>
      <c r="B522" s="822"/>
      <c r="C522" s="838"/>
      <c r="D522" s="579" t="s">
        <v>351</v>
      </c>
      <c r="E522" s="582"/>
      <c r="F522" s="582"/>
      <c r="G522" s="582"/>
      <c r="H522" s="582"/>
      <c r="I522" s="580"/>
      <c r="J522" s="580"/>
      <c r="K522" s="580"/>
      <c r="L522" s="580"/>
      <c r="M522" s="580"/>
      <c r="N522" s="586"/>
      <c r="O522" s="582"/>
      <c r="P522" s="576"/>
      <c r="Q522" s="580"/>
      <c r="R522" s="580"/>
      <c r="S522" s="580"/>
      <c r="T522" s="581"/>
      <c r="U522" s="581"/>
      <c r="V522" s="581"/>
      <c r="W522" s="581"/>
      <c r="X522" s="581"/>
      <c r="Y522" s="580"/>
      <c r="Z522" s="581"/>
      <c r="AA522" s="580"/>
      <c r="AB522" s="587"/>
      <c r="AC522" s="576"/>
      <c r="AD522" s="588"/>
      <c r="AE522" s="580"/>
      <c r="AF522" s="666"/>
      <c r="AG522" s="822"/>
      <c r="AH522" s="822"/>
      <c r="AI522" s="822"/>
      <c r="AJ522" s="822"/>
      <c r="AK522" s="806"/>
      <c r="AL522" s="806"/>
      <c r="AM522" s="806"/>
      <c r="AN522" s="806"/>
      <c r="AO522" s="806"/>
      <c r="AP522" s="806"/>
      <c r="AQ522" s="806"/>
      <c r="AR522" s="806"/>
      <c r="AS522" s="806"/>
      <c r="AT522" s="806"/>
      <c r="AU522" s="806"/>
      <c r="AV522" s="806"/>
      <c r="AW522" s="806"/>
      <c r="AX522" s="806"/>
      <c r="AY522" s="600"/>
    </row>
    <row r="523" spans="1:51" ht="28.9" customHeight="1" x14ac:dyDescent="0.25">
      <c r="A523" s="828"/>
      <c r="B523" s="822"/>
      <c r="C523" s="838"/>
      <c r="D523" s="578" t="s">
        <v>352</v>
      </c>
      <c r="E523" s="582"/>
      <c r="F523" s="582"/>
      <c r="G523" s="582"/>
      <c r="H523" s="582">
        <v>17201630</v>
      </c>
      <c r="I523" s="580">
        <v>17201630</v>
      </c>
      <c r="J523" s="580">
        <v>17201631</v>
      </c>
      <c r="K523" s="575">
        <v>15130354</v>
      </c>
      <c r="L523" s="575">
        <v>15130354</v>
      </c>
      <c r="M523" s="575">
        <f t="shared" ref="M523:R523" si="142">+M397-Z397</f>
        <v>14905183</v>
      </c>
      <c r="N523" s="583">
        <f t="shared" si="142"/>
        <v>14905183</v>
      </c>
      <c r="O523" s="583">
        <f t="shared" si="142"/>
        <v>14905183</v>
      </c>
      <c r="P523" s="575">
        <f t="shared" si="142"/>
        <v>35359</v>
      </c>
      <c r="Q523" s="575">
        <f t="shared" si="142"/>
        <v>35359</v>
      </c>
      <c r="R523" s="575">
        <f t="shared" si="142"/>
        <v>0</v>
      </c>
      <c r="S523" s="575"/>
      <c r="T523" s="581"/>
      <c r="U523" s="581"/>
      <c r="V523" s="581"/>
      <c r="W523" s="581"/>
      <c r="X523" s="581"/>
      <c r="Y523" s="580"/>
      <c r="Z523" s="581"/>
      <c r="AA523" s="580"/>
      <c r="AB523" s="587"/>
      <c r="AC523" s="576"/>
      <c r="AD523" s="588"/>
      <c r="AE523" s="575"/>
      <c r="AF523" s="666"/>
      <c r="AG523" s="822"/>
      <c r="AH523" s="822"/>
      <c r="AI523" s="822"/>
      <c r="AJ523" s="822"/>
      <c r="AK523" s="806"/>
      <c r="AL523" s="806"/>
      <c r="AM523" s="806"/>
      <c r="AN523" s="806"/>
      <c r="AO523" s="806"/>
      <c r="AP523" s="806"/>
      <c r="AQ523" s="806"/>
      <c r="AR523" s="806"/>
      <c r="AS523" s="806"/>
      <c r="AT523" s="806"/>
      <c r="AU523" s="806"/>
      <c r="AV523" s="806"/>
      <c r="AW523" s="806"/>
      <c r="AX523" s="806"/>
      <c r="AY523" s="600"/>
    </row>
    <row r="524" spans="1:51" ht="28.9" customHeight="1" x14ac:dyDescent="0.25">
      <c r="A524" s="828"/>
      <c r="B524" s="822"/>
      <c r="C524" s="838"/>
      <c r="D524" s="579" t="s">
        <v>353</v>
      </c>
      <c r="E524" s="582"/>
      <c r="F524" s="582"/>
      <c r="G524" s="582"/>
      <c r="H524" s="582">
        <v>280</v>
      </c>
      <c r="I524" s="580">
        <v>260</v>
      </c>
      <c r="J524" s="580">
        <v>230</v>
      </c>
      <c r="K524" s="580">
        <v>200</v>
      </c>
      <c r="L524" s="580">
        <v>170</v>
      </c>
      <c r="M524" s="580">
        <v>160</v>
      </c>
      <c r="N524" s="582">
        <v>150</v>
      </c>
      <c r="O524" s="582">
        <v>110</v>
      </c>
      <c r="P524" s="576">
        <v>70</v>
      </c>
      <c r="Q524" s="580">
        <v>30</v>
      </c>
      <c r="R524" s="580">
        <v>0</v>
      </c>
      <c r="S524" s="580"/>
      <c r="T524" s="581"/>
      <c r="U524" s="581"/>
      <c r="V524" s="581"/>
      <c r="W524" s="581"/>
      <c r="X524" s="580"/>
      <c r="Y524" s="580"/>
      <c r="Z524" s="581"/>
      <c r="AA524" s="580"/>
      <c r="AB524" s="587"/>
      <c r="AC524" s="576"/>
      <c r="AD524" s="588"/>
      <c r="AE524" s="580"/>
      <c r="AF524" s="666"/>
      <c r="AG524" s="822"/>
      <c r="AH524" s="822"/>
      <c r="AI524" s="822"/>
      <c r="AJ524" s="822"/>
      <c r="AK524" s="806"/>
      <c r="AL524" s="806"/>
      <c r="AM524" s="806"/>
      <c r="AN524" s="806"/>
      <c r="AO524" s="806"/>
      <c r="AP524" s="806"/>
      <c r="AQ524" s="806"/>
      <c r="AR524" s="806"/>
      <c r="AS524" s="806"/>
      <c r="AT524" s="806"/>
      <c r="AU524" s="806"/>
      <c r="AV524" s="806"/>
      <c r="AW524" s="806"/>
      <c r="AX524" s="806"/>
      <c r="AY524" s="600"/>
    </row>
    <row r="525" spans="1:51" ht="28.9" customHeight="1" x14ac:dyDescent="0.25">
      <c r="A525" s="828"/>
      <c r="B525" s="822"/>
      <c r="C525" s="839"/>
      <c r="D525" s="578" t="s">
        <v>354</v>
      </c>
      <c r="E525" s="582"/>
      <c r="F525" s="582"/>
      <c r="G525" s="583"/>
      <c r="H525" s="583">
        <v>361091630</v>
      </c>
      <c r="I525" s="575">
        <v>361091630</v>
      </c>
      <c r="J525" s="575">
        <v>361091631</v>
      </c>
      <c r="K525" s="596">
        <v>359020354</v>
      </c>
      <c r="L525" s="596">
        <v>359020354</v>
      </c>
      <c r="M525" s="596">
        <f t="shared" ref="M525:R525" si="143">+M521+M523</f>
        <v>381805283</v>
      </c>
      <c r="N525" s="597">
        <f t="shared" si="143"/>
        <v>218988283</v>
      </c>
      <c r="O525" s="597">
        <f t="shared" si="143"/>
        <v>153857283</v>
      </c>
      <c r="P525" s="596">
        <f t="shared" si="143"/>
        <v>138987459</v>
      </c>
      <c r="Q525" s="596">
        <f t="shared" si="143"/>
        <v>111875058</v>
      </c>
      <c r="R525" s="596">
        <f t="shared" si="143"/>
        <v>187064</v>
      </c>
      <c r="S525" s="596"/>
      <c r="T525" s="581"/>
      <c r="U525" s="581"/>
      <c r="V525" s="581"/>
      <c r="W525" s="581"/>
      <c r="X525" s="580"/>
      <c r="Y525" s="580"/>
      <c r="Z525" s="581"/>
      <c r="AA525" s="580"/>
      <c r="AB525" s="587"/>
      <c r="AC525" s="580"/>
      <c r="AD525" s="588"/>
      <c r="AE525" s="596"/>
      <c r="AF525" s="666"/>
      <c r="AG525" s="823"/>
      <c r="AH525" s="823"/>
      <c r="AI525" s="823"/>
      <c r="AJ525" s="823"/>
      <c r="AK525" s="807"/>
      <c r="AL525" s="807"/>
      <c r="AM525" s="807"/>
      <c r="AN525" s="807"/>
      <c r="AO525" s="807"/>
      <c r="AP525" s="807"/>
      <c r="AQ525" s="807"/>
      <c r="AR525" s="807"/>
      <c r="AS525" s="807"/>
      <c r="AT525" s="807"/>
      <c r="AU525" s="807"/>
      <c r="AV525" s="807"/>
      <c r="AW525" s="807"/>
      <c r="AX525" s="807"/>
      <c r="AY525" s="600"/>
    </row>
    <row r="526" spans="1:51" ht="19.149999999999999" customHeight="1" x14ac:dyDescent="0.25">
      <c r="A526" s="828"/>
      <c r="B526" s="822"/>
      <c r="C526" s="821" t="s">
        <v>599</v>
      </c>
      <c r="D526" s="572" t="s">
        <v>345</v>
      </c>
      <c r="E526" s="582">
        <v>290</v>
      </c>
      <c r="F526" s="582">
        <v>290</v>
      </c>
      <c r="G526" s="582">
        <v>290</v>
      </c>
      <c r="H526" s="582">
        <v>290</v>
      </c>
      <c r="I526" s="580">
        <v>290</v>
      </c>
      <c r="J526" s="580">
        <v>290</v>
      </c>
      <c r="K526" s="580">
        <v>290</v>
      </c>
      <c r="L526" s="580">
        <v>290</v>
      </c>
      <c r="M526" s="580">
        <f t="shared" ref="M526:N531" si="144">M400+M406+M418+M442+M448+M454+M460+M466+M472+M478+M484+M490+M496+M514+M520</f>
        <v>290</v>
      </c>
      <c r="N526" s="582">
        <f t="shared" si="144"/>
        <v>290</v>
      </c>
      <c r="O526" s="582">
        <f t="shared" ref="O526:P531" si="145">O400+O406+O418+O436+O442+O448+O454+O460+O466+O472+O478+O484+O490+O496+O502+O514+O520</f>
        <v>290</v>
      </c>
      <c r="P526" s="580">
        <f t="shared" si="145"/>
        <v>290</v>
      </c>
      <c r="Q526" s="580">
        <f t="shared" ref="Q526:Q531" si="146">Q400+Q406+Q418+Q436+Q442+Q448+Q454+Q460+Q466+Q472+Q478+Q484+Q490+Q496+Q502+Q508+Q514+Q520</f>
        <v>290</v>
      </c>
      <c r="R526" s="580">
        <f t="shared" ref="R526:R531" si="147">R400+R406+R418+R424+R436+R442+R448+R454+R460+R466+R472+R478+R484+R490+R496+R502+R508+R514+R520</f>
        <v>290</v>
      </c>
      <c r="S526" s="580"/>
      <c r="T526" s="580">
        <v>0</v>
      </c>
      <c r="U526" s="580">
        <v>10</v>
      </c>
      <c r="V526" s="580">
        <v>30</v>
      </c>
      <c r="W526" s="580">
        <v>60</v>
      </c>
      <c r="X526" s="580">
        <v>90</v>
      </c>
      <c r="Y526" s="580">
        <v>120</v>
      </c>
      <c r="Z526" s="580">
        <f t="shared" ref="Z526:AA531" si="148">Z400+Z406+Z418+Z442+Z448+Z454+Z460+Z466+Z472+Z478+Z484+Z490+Z496+Z514+Z520</f>
        <v>130</v>
      </c>
      <c r="AA526" s="580">
        <f t="shared" si="148"/>
        <v>140</v>
      </c>
      <c r="AB526" s="580">
        <f t="shared" ref="AB526:AC531" si="149">AB400+AB406+AB418+AB436+AB442+AB448+AB454+AB460+AB466+AB472+AB478+AB484+AB490+AB496+AB502+AB514+AB520</f>
        <v>180</v>
      </c>
      <c r="AC526" s="580">
        <f t="shared" si="149"/>
        <v>220</v>
      </c>
      <c r="AD526" s="580">
        <f t="shared" ref="AD526:AD531" si="150">AD400+AD406+AD418+AD436+AD442+AD448+AD454+AD460+AD466+AD472+AD478+AD484+AD490+AD496+AD502+AD508+AD514+AD520</f>
        <v>260</v>
      </c>
      <c r="AE526" s="580">
        <f t="shared" ref="AE526:AE531" si="151">AE400+AE406+AE418+AE424+AE436+AE442+AE448+AE454+AE460+AE466+AE472+AE478+AE484+AE490+AE496+AE502+AE508+AE514+AE520</f>
        <v>290</v>
      </c>
      <c r="AF526" s="666"/>
      <c r="AG526" s="824" t="s">
        <v>489</v>
      </c>
      <c r="AH526" s="824" t="s">
        <v>178</v>
      </c>
      <c r="AI526" s="824" t="s">
        <v>178</v>
      </c>
      <c r="AJ526" s="824" t="s">
        <v>178</v>
      </c>
      <c r="AK526" s="825" t="s">
        <v>490</v>
      </c>
      <c r="AL526" s="826"/>
      <c r="AM526" s="826" t="s">
        <v>752</v>
      </c>
      <c r="AN526" s="820">
        <v>7968095</v>
      </c>
      <c r="AO526" s="820">
        <v>3815676</v>
      </c>
      <c r="AP526" s="820">
        <v>4152419</v>
      </c>
      <c r="AQ526" s="805" t="s">
        <v>492</v>
      </c>
      <c r="AR526" s="805" t="s">
        <v>492</v>
      </c>
      <c r="AS526" s="805" t="s">
        <v>492</v>
      </c>
      <c r="AT526" s="805" t="s">
        <v>492</v>
      </c>
      <c r="AU526" s="805" t="s">
        <v>492</v>
      </c>
      <c r="AV526" s="805" t="s">
        <v>492</v>
      </c>
      <c r="AW526" s="805" t="s">
        <v>492</v>
      </c>
      <c r="AX526" s="808">
        <v>7936534</v>
      </c>
      <c r="AY526" s="600"/>
    </row>
    <row r="527" spans="1:51" ht="19.149999999999999" customHeight="1" x14ac:dyDescent="0.25">
      <c r="A527" s="828"/>
      <c r="B527" s="822"/>
      <c r="C527" s="822"/>
      <c r="D527" s="578" t="s">
        <v>349</v>
      </c>
      <c r="E527" s="582">
        <v>930550000</v>
      </c>
      <c r="F527" s="582">
        <v>930550000</v>
      </c>
      <c r="G527" s="582">
        <v>930550000</v>
      </c>
      <c r="H527" s="582">
        <v>930550000</v>
      </c>
      <c r="I527" s="580">
        <v>930550000</v>
      </c>
      <c r="J527" s="580">
        <v>930550000</v>
      </c>
      <c r="K527" s="580">
        <v>930550000.00000012</v>
      </c>
      <c r="L527" s="580">
        <v>930550000</v>
      </c>
      <c r="M527" s="580">
        <f t="shared" si="144"/>
        <v>953560100</v>
      </c>
      <c r="N527" s="582">
        <f t="shared" si="144"/>
        <v>953560100</v>
      </c>
      <c r="O527" s="582">
        <f t="shared" si="145"/>
        <v>953560100</v>
      </c>
      <c r="P527" s="580">
        <f t="shared" si="145"/>
        <v>953560100</v>
      </c>
      <c r="Q527" s="580">
        <f t="shared" si="146"/>
        <v>926447699.00000012</v>
      </c>
      <c r="R527" s="580">
        <f t="shared" si="147"/>
        <v>926447699.00000012</v>
      </c>
      <c r="S527" s="580"/>
      <c r="T527" s="580">
        <v>0</v>
      </c>
      <c r="U527" s="580">
        <v>586660000</v>
      </c>
      <c r="V527" s="580">
        <v>586660000</v>
      </c>
      <c r="W527" s="580">
        <v>586660000</v>
      </c>
      <c r="X527" s="580">
        <v>586660000.00000012</v>
      </c>
      <c r="Y527" s="580">
        <v>586660000</v>
      </c>
      <c r="Z527" s="580">
        <f t="shared" si="148"/>
        <v>586660000</v>
      </c>
      <c r="AA527" s="580">
        <f t="shared" si="148"/>
        <v>749477000</v>
      </c>
      <c r="AB527" s="580">
        <f t="shared" si="149"/>
        <v>814608000</v>
      </c>
      <c r="AC527" s="580">
        <f t="shared" si="149"/>
        <v>814608000</v>
      </c>
      <c r="AD527" s="580">
        <f t="shared" si="150"/>
        <v>814608000.00000012</v>
      </c>
      <c r="AE527" s="580">
        <f t="shared" si="151"/>
        <v>926260635.00000012</v>
      </c>
      <c r="AF527" s="666"/>
      <c r="AG527" s="822"/>
      <c r="AH527" s="822"/>
      <c r="AI527" s="822"/>
      <c r="AJ527" s="822"/>
      <c r="AK527" s="806"/>
      <c r="AL527" s="806"/>
      <c r="AM527" s="806"/>
      <c r="AN527" s="806"/>
      <c r="AO527" s="806"/>
      <c r="AP527" s="806"/>
      <c r="AQ527" s="806"/>
      <c r="AR527" s="806"/>
      <c r="AS527" s="806"/>
      <c r="AT527" s="806"/>
      <c r="AU527" s="806"/>
      <c r="AV527" s="806"/>
      <c r="AW527" s="806"/>
      <c r="AX527" s="806"/>
      <c r="AY527" s="600"/>
    </row>
    <row r="528" spans="1:51" ht="28.9" customHeight="1" x14ac:dyDescent="0.25">
      <c r="A528" s="828"/>
      <c r="B528" s="822"/>
      <c r="C528" s="822"/>
      <c r="D528" s="579" t="s">
        <v>351</v>
      </c>
      <c r="E528" s="582">
        <v>0</v>
      </c>
      <c r="F528" s="582">
        <v>0</v>
      </c>
      <c r="G528" s="582">
        <v>0</v>
      </c>
      <c r="H528" s="582">
        <v>0</v>
      </c>
      <c r="I528" s="580">
        <v>0</v>
      </c>
      <c r="J528" s="580">
        <v>0</v>
      </c>
      <c r="K528" s="580">
        <v>0</v>
      </c>
      <c r="L528" s="580">
        <v>0</v>
      </c>
      <c r="M528" s="580">
        <f t="shared" si="144"/>
        <v>0</v>
      </c>
      <c r="N528" s="582">
        <f t="shared" si="144"/>
        <v>0</v>
      </c>
      <c r="O528" s="582">
        <f t="shared" si="145"/>
        <v>0</v>
      </c>
      <c r="P528" s="580">
        <f t="shared" si="145"/>
        <v>0</v>
      </c>
      <c r="Q528" s="580">
        <f t="shared" si="146"/>
        <v>0</v>
      </c>
      <c r="R528" s="580">
        <f t="shared" si="147"/>
        <v>0</v>
      </c>
      <c r="S528" s="580"/>
      <c r="T528" s="580">
        <v>0</v>
      </c>
      <c r="U528" s="580">
        <v>0</v>
      </c>
      <c r="V528" s="580">
        <v>0</v>
      </c>
      <c r="W528" s="580">
        <v>0</v>
      </c>
      <c r="X528" s="580">
        <v>0</v>
      </c>
      <c r="Y528" s="580">
        <v>0</v>
      </c>
      <c r="Z528" s="580">
        <f t="shared" si="148"/>
        <v>0</v>
      </c>
      <c r="AA528" s="580">
        <f t="shared" si="148"/>
        <v>0</v>
      </c>
      <c r="AB528" s="580">
        <f t="shared" si="149"/>
        <v>0</v>
      </c>
      <c r="AC528" s="580">
        <f t="shared" si="149"/>
        <v>0</v>
      </c>
      <c r="AD528" s="580">
        <f t="shared" si="150"/>
        <v>0</v>
      </c>
      <c r="AE528" s="580">
        <f t="shared" si="151"/>
        <v>0</v>
      </c>
      <c r="AF528" s="666"/>
      <c r="AG528" s="822"/>
      <c r="AH528" s="822"/>
      <c r="AI528" s="822"/>
      <c r="AJ528" s="822"/>
      <c r="AK528" s="806"/>
      <c r="AL528" s="806"/>
      <c r="AM528" s="806"/>
      <c r="AN528" s="806"/>
      <c r="AO528" s="806"/>
      <c r="AP528" s="806"/>
      <c r="AQ528" s="806"/>
      <c r="AR528" s="806"/>
      <c r="AS528" s="806"/>
      <c r="AT528" s="806"/>
      <c r="AU528" s="806"/>
      <c r="AV528" s="806"/>
      <c r="AW528" s="806"/>
      <c r="AX528" s="806"/>
      <c r="AY528" s="600"/>
    </row>
    <row r="529" spans="1:51" ht="28.9" customHeight="1" x14ac:dyDescent="0.25">
      <c r="A529" s="828"/>
      <c r="B529" s="822"/>
      <c r="C529" s="822"/>
      <c r="D529" s="578" t="s">
        <v>352</v>
      </c>
      <c r="E529" s="582">
        <v>55747063</v>
      </c>
      <c r="F529" s="582">
        <v>55747063</v>
      </c>
      <c r="G529" s="582">
        <v>55747063</v>
      </c>
      <c r="H529" s="582">
        <v>55747062</v>
      </c>
      <c r="I529" s="580">
        <v>55747061.999999993</v>
      </c>
      <c r="J529" s="580">
        <v>55747062.999999993</v>
      </c>
      <c r="K529" s="580">
        <v>55747063</v>
      </c>
      <c r="L529" s="580">
        <v>55747063</v>
      </c>
      <c r="M529" s="580">
        <f t="shared" si="144"/>
        <v>55747062.999999993</v>
      </c>
      <c r="N529" s="582">
        <f t="shared" si="144"/>
        <v>55747062.999999993</v>
      </c>
      <c r="O529" s="582">
        <f t="shared" si="145"/>
        <v>55747062.999999993</v>
      </c>
      <c r="P529" s="580">
        <f t="shared" si="145"/>
        <v>55747063</v>
      </c>
      <c r="Q529" s="580">
        <f t="shared" si="146"/>
        <v>55747063</v>
      </c>
      <c r="R529" s="580">
        <f t="shared" si="147"/>
        <v>55711704</v>
      </c>
      <c r="S529" s="580"/>
      <c r="T529" s="580">
        <v>19530933</v>
      </c>
      <c r="U529" s="580">
        <v>38545432</v>
      </c>
      <c r="V529" s="580">
        <v>38545431.999999993</v>
      </c>
      <c r="W529" s="580">
        <v>38545431.999999993</v>
      </c>
      <c r="X529" s="580">
        <v>40616709</v>
      </c>
      <c r="Y529" s="580">
        <v>40616709</v>
      </c>
      <c r="Z529" s="580">
        <f t="shared" si="148"/>
        <v>40841879.999999993</v>
      </c>
      <c r="AA529" s="580">
        <f t="shared" si="148"/>
        <v>40841879.999999993</v>
      </c>
      <c r="AB529" s="580">
        <f t="shared" si="149"/>
        <v>40841879.999999993</v>
      </c>
      <c r="AC529" s="580">
        <f t="shared" si="149"/>
        <v>55711704</v>
      </c>
      <c r="AD529" s="580">
        <f t="shared" si="150"/>
        <v>55711704</v>
      </c>
      <c r="AE529" s="580">
        <f t="shared" si="151"/>
        <v>55711704</v>
      </c>
      <c r="AF529" s="666"/>
      <c r="AG529" s="822"/>
      <c r="AH529" s="822"/>
      <c r="AI529" s="822"/>
      <c r="AJ529" s="822"/>
      <c r="AK529" s="806"/>
      <c r="AL529" s="806"/>
      <c r="AM529" s="806"/>
      <c r="AN529" s="806"/>
      <c r="AO529" s="806"/>
      <c r="AP529" s="806"/>
      <c r="AQ529" s="806"/>
      <c r="AR529" s="806"/>
      <c r="AS529" s="806"/>
      <c r="AT529" s="806"/>
      <c r="AU529" s="806"/>
      <c r="AV529" s="806"/>
      <c r="AW529" s="806"/>
      <c r="AX529" s="806"/>
      <c r="AY529" s="600"/>
    </row>
    <row r="530" spans="1:51" ht="28.9" customHeight="1" x14ac:dyDescent="0.25">
      <c r="A530" s="828"/>
      <c r="B530" s="822"/>
      <c r="C530" s="822"/>
      <c r="D530" s="579" t="s">
        <v>353</v>
      </c>
      <c r="E530" s="582">
        <v>290</v>
      </c>
      <c r="F530" s="582">
        <v>290</v>
      </c>
      <c r="G530" s="582">
        <v>290</v>
      </c>
      <c r="H530" s="582">
        <v>290</v>
      </c>
      <c r="I530" s="580">
        <v>290</v>
      </c>
      <c r="J530" s="580">
        <v>290</v>
      </c>
      <c r="K530" s="580">
        <v>290</v>
      </c>
      <c r="L530" s="580">
        <v>290</v>
      </c>
      <c r="M530" s="580">
        <f t="shared" si="144"/>
        <v>290</v>
      </c>
      <c r="N530" s="582">
        <f t="shared" si="144"/>
        <v>290</v>
      </c>
      <c r="O530" s="582">
        <f t="shared" si="145"/>
        <v>290</v>
      </c>
      <c r="P530" s="580">
        <f t="shared" si="145"/>
        <v>290</v>
      </c>
      <c r="Q530" s="580">
        <f t="shared" si="146"/>
        <v>290</v>
      </c>
      <c r="R530" s="580">
        <f t="shared" si="147"/>
        <v>290</v>
      </c>
      <c r="S530" s="580"/>
      <c r="T530" s="580">
        <v>0</v>
      </c>
      <c r="U530" s="580">
        <v>10</v>
      </c>
      <c r="V530" s="580">
        <v>30</v>
      </c>
      <c r="W530" s="580">
        <v>60</v>
      </c>
      <c r="X530" s="580">
        <v>90</v>
      </c>
      <c r="Y530" s="580">
        <v>120</v>
      </c>
      <c r="Z530" s="580">
        <f t="shared" si="148"/>
        <v>130</v>
      </c>
      <c r="AA530" s="580">
        <f t="shared" si="148"/>
        <v>140</v>
      </c>
      <c r="AB530" s="580">
        <f t="shared" si="149"/>
        <v>180</v>
      </c>
      <c r="AC530" s="580">
        <f t="shared" si="149"/>
        <v>220</v>
      </c>
      <c r="AD530" s="580">
        <f t="shared" si="150"/>
        <v>260</v>
      </c>
      <c r="AE530" s="580">
        <f t="shared" si="151"/>
        <v>290</v>
      </c>
      <c r="AF530" s="666"/>
      <c r="AG530" s="822"/>
      <c r="AH530" s="822"/>
      <c r="AI530" s="822"/>
      <c r="AJ530" s="822"/>
      <c r="AK530" s="806"/>
      <c r="AL530" s="806"/>
      <c r="AM530" s="806"/>
      <c r="AN530" s="806"/>
      <c r="AO530" s="806"/>
      <c r="AP530" s="806"/>
      <c r="AQ530" s="806"/>
      <c r="AR530" s="806"/>
      <c r="AS530" s="806"/>
      <c r="AT530" s="806"/>
      <c r="AU530" s="806"/>
      <c r="AV530" s="806"/>
      <c r="AW530" s="806"/>
      <c r="AX530" s="806"/>
      <c r="AY530" s="600"/>
    </row>
    <row r="531" spans="1:51" ht="28.9" customHeight="1" thickBot="1" x14ac:dyDescent="0.3">
      <c r="A531" s="829"/>
      <c r="B531" s="832"/>
      <c r="C531" s="823"/>
      <c r="D531" s="578" t="s">
        <v>354</v>
      </c>
      <c r="E531" s="582">
        <v>986297063</v>
      </c>
      <c r="F531" s="582">
        <v>986297063</v>
      </c>
      <c r="G531" s="582">
        <v>986297063</v>
      </c>
      <c r="H531" s="582">
        <v>986297062</v>
      </c>
      <c r="I531" s="580">
        <v>986297061.99999988</v>
      </c>
      <c r="J531" s="580">
        <v>986297063</v>
      </c>
      <c r="K531" s="580">
        <v>986297063.00000012</v>
      </c>
      <c r="L531" s="580">
        <v>986297063</v>
      </c>
      <c r="M531" s="580">
        <f t="shared" si="144"/>
        <v>1009307163</v>
      </c>
      <c r="N531" s="582">
        <f t="shared" si="144"/>
        <v>1009307163</v>
      </c>
      <c r="O531" s="582">
        <f t="shared" si="145"/>
        <v>1009307163.0000001</v>
      </c>
      <c r="P531" s="580">
        <f t="shared" si="145"/>
        <v>1009307163</v>
      </c>
      <c r="Q531" s="580">
        <f t="shared" si="146"/>
        <v>982194762.00000024</v>
      </c>
      <c r="R531" s="580">
        <f t="shared" si="147"/>
        <v>982159403.00000012</v>
      </c>
      <c r="S531" s="580"/>
      <c r="T531" s="580">
        <v>19530933</v>
      </c>
      <c r="U531" s="580">
        <v>625205432</v>
      </c>
      <c r="V531" s="580">
        <v>625205431.99999988</v>
      </c>
      <c r="W531" s="580">
        <v>625205432</v>
      </c>
      <c r="X531" s="580">
        <v>627276709.00000012</v>
      </c>
      <c r="Y531" s="580">
        <v>627276709</v>
      </c>
      <c r="Z531" s="580">
        <f t="shared" si="148"/>
        <v>627501880</v>
      </c>
      <c r="AA531" s="580">
        <f t="shared" si="148"/>
        <v>790318880</v>
      </c>
      <c r="AB531" s="580">
        <f t="shared" si="149"/>
        <v>855449880.00000012</v>
      </c>
      <c r="AC531" s="580">
        <f t="shared" si="149"/>
        <v>870319704</v>
      </c>
      <c r="AD531" s="580">
        <f t="shared" si="150"/>
        <v>870319704.00000024</v>
      </c>
      <c r="AE531" s="580">
        <f t="shared" si="151"/>
        <v>981972339.00000012</v>
      </c>
      <c r="AF531" s="666"/>
      <c r="AG531" s="823"/>
      <c r="AH531" s="823"/>
      <c r="AI531" s="823"/>
      <c r="AJ531" s="823"/>
      <c r="AK531" s="807"/>
      <c r="AL531" s="807"/>
      <c r="AM531" s="807"/>
      <c r="AN531" s="807"/>
      <c r="AO531" s="807"/>
      <c r="AP531" s="807"/>
      <c r="AQ531" s="807"/>
      <c r="AR531" s="807"/>
      <c r="AS531" s="807"/>
      <c r="AT531" s="807"/>
      <c r="AU531" s="807"/>
      <c r="AV531" s="807"/>
      <c r="AW531" s="807"/>
      <c r="AX531" s="807"/>
      <c r="AY531" s="600"/>
    </row>
    <row r="532" spans="1:51" ht="19.149999999999999" customHeight="1" x14ac:dyDescent="0.25">
      <c r="A532" s="827">
        <v>6</v>
      </c>
      <c r="B532" s="830" t="s">
        <v>367</v>
      </c>
      <c r="C532" s="821" t="s">
        <v>835</v>
      </c>
      <c r="D532" s="572" t="s">
        <v>345</v>
      </c>
      <c r="E532" s="582">
        <v>34</v>
      </c>
      <c r="F532" s="582">
        <v>34</v>
      </c>
      <c r="G532" s="582">
        <v>34</v>
      </c>
      <c r="H532" s="582">
        <v>34</v>
      </c>
      <c r="I532" s="580">
        <v>34</v>
      </c>
      <c r="J532" s="580">
        <v>34</v>
      </c>
      <c r="K532" s="580">
        <v>34</v>
      </c>
      <c r="L532" s="580">
        <v>34</v>
      </c>
      <c r="M532" s="580">
        <v>34</v>
      </c>
      <c r="N532" s="592">
        <v>34</v>
      </c>
      <c r="O532" s="582">
        <v>34</v>
      </c>
      <c r="P532" s="580">
        <v>34</v>
      </c>
      <c r="Q532" s="580">
        <v>34</v>
      </c>
      <c r="R532" s="580">
        <v>34</v>
      </c>
      <c r="S532" s="580"/>
      <c r="T532" s="593">
        <v>0</v>
      </c>
      <c r="U532" s="593">
        <v>2</v>
      </c>
      <c r="V532" s="593">
        <v>6</v>
      </c>
      <c r="W532" s="593">
        <v>10</v>
      </c>
      <c r="X532" s="593">
        <v>14</v>
      </c>
      <c r="Y532" s="593">
        <v>17</v>
      </c>
      <c r="Z532" s="580">
        <v>20</v>
      </c>
      <c r="AA532" s="610">
        <v>26</v>
      </c>
      <c r="AB532" s="610">
        <v>26</v>
      </c>
      <c r="AC532" s="580">
        <v>29</v>
      </c>
      <c r="AD532" s="580">
        <v>32</v>
      </c>
      <c r="AE532" s="580">
        <v>34</v>
      </c>
      <c r="AF532" s="667"/>
      <c r="AG532" s="821" t="s">
        <v>836</v>
      </c>
      <c r="AH532" s="824" t="s">
        <v>178</v>
      </c>
      <c r="AI532" s="824" t="s">
        <v>178</v>
      </c>
      <c r="AJ532" s="824" t="s">
        <v>178</v>
      </c>
      <c r="AK532" s="825" t="s">
        <v>490</v>
      </c>
      <c r="AL532" s="826" t="s">
        <v>765</v>
      </c>
      <c r="AM532" s="826" t="s">
        <v>752</v>
      </c>
      <c r="AN532" s="820">
        <v>7968095</v>
      </c>
      <c r="AO532" s="820">
        <v>3815676</v>
      </c>
      <c r="AP532" s="820">
        <v>4152419</v>
      </c>
      <c r="AQ532" s="844" t="s">
        <v>492</v>
      </c>
      <c r="AR532" s="844" t="s">
        <v>492</v>
      </c>
      <c r="AS532" s="844" t="s">
        <v>492</v>
      </c>
      <c r="AT532" s="844" t="s">
        <v>492</v>
      </c>
      <c r="AU532" s="844" t="s">
        <v>492</v>
      </c>
      <c r="AV532" s="844" t="s">
        <v>492</v>
      </c>
      <c r="AW532" s="844" t="s">
        <v>492</v>
      </c>
      <c r="AX532" s="808">
        <v>7804660</v>
      </c>
      <c r="AY532" s="845" t="s">
        <v>837</v>
      </c>
    </row>
    <row r="533" spans="1:51" ht="19.149999999999999" customHeight="1" x14ac:dyDescent="0.25">
      <c r="A533" s="828"/>
      <c r="B533" s="822"/>
      <c r="C533" s="822"/>
      <c r="D533" s="578" t="s">
        <v>349</v>
      </c>
      <c r="E533" s="582">
        <v>360437000</v>
      </c>
      <c r="F533" s="582">
        <v>360437000</v>
      </c>
      <c r="G533" s="582">
        <v>360437000</v>
      </c>
      <c r="H533" s="582">
        <v>360437000</v>
      </c>
      <c r="I533" s="580">
        <v>360437000</v>
      </c>
      <c r="J533" s="580">
        <v>360437000</v>
      </c>
      <c r="K533" s="580">
        <v>360437000</v>
      </c>
      <c r="L533" s="580">
        <v>360437000</v>
      </c>
      <c r="M533" s="580">
        <v>332536800</v>
      </c>
      <c r="N533" s="592">
        <v>332536800</v>
      </c>
      <c r="O533" s="592">
        <v>332536800</v>
      </c>
      <c r="P533" s="593">
        <v>335917033</v>
      </c>
      <c r="Q533" s="580">
        <v>336945800</v>
      </c>
      <c r="R533" s="580">
        <v>336945800</v>
      </c>
      <c r="S533" s="580"/>
      <c r="T533" s="593">
        <v>0</v>
      </c>
      <c r="U533" s="593">
        <v>285910000</v>
      </c>
      <c r="V533" s="593">
        <v>285910000</v>
      </c>
      <c r="W533" s="593">
        <v>317473000</v>
      </c>
      <c r="X533" s="575">
        <v>317473000</v>
      </c>
      <c r="Y533" s="593">
        <v>317473000</v>
      </c>
      <c r="Z533" s="580">
        <v>317473000</v>
      </c>
      <c r="AA533" s="580">
        <v>317473000</v>
      </c>
      <c r="AB533" s="610">
        <v>317473000</v>
      </c>
      <c r="AC533" s="580">
        <v>317473000</v>
      </c>
      <c r="AD533" s="593">
        <v>317473000</v>
      </c>
      <c r="AE533" s="580">
        <v>336945800</v>
      </c>
      <c r="AF533" s="859"/>
      <c r="AG533" s="822"/>
      <c r="AH533" s="822"/>
      <c r="AI533" s="822"/>
      <c r="AJ533" s="822"/>
      <c r="AK533" s="806"/>
      <c r="AL533" s="806"/>
      <c r="AM533" s="806"/>
      <c r="AN533" s="806"/>
      <c r="AO533" s="806"/>
      <c r="AP533" s="806"/>
      <c r="AQ533" s="806"/>
      <c r="AR533" s="806"/>
      <c r="AS533" s="806"/>
      <c r="AT533" s="806"/>
      <c r="AU533" s="806"/>
      <c r="AV533" s="806"/>
      <c r="AW533" s="806"/>
      <c r="AX533" s="806"/>
      <c r="AY533" s="806"/>
    </row>
    <row r="534" spans="1:51" ht="28.9" customHeight="1" x14ac:dyDescent="0.25">
      <c r="A534" s="828"/>
      <c r="B534" s="822"/>
      <c r="C534" s="822"/>
      <c r="D534" s="579" t="s">
        <v>351</v>
      </c>
      <c r="E534" s="582"/>
      <c r="F534" s="582"/>
      <c r="G534" s="582"/>
      <c r="H534" s="582"/>
      <c r="I534" s="580"/>
      <c r="J534" s="580"/>
      <c r="K534" s="580"/>
      <c r="L534" s="580"/>
      <c r="M534" s="580"/>
      <c r="N534" s="592"/>
      <c r="O534" s="592"/>
      <c r="P534" s="593"/>
      <c r="Q534" s="580"/>
      <c r="R534" s="580"/>
      <c r="S534" s="580"/>
      <c r="T534" s="593"/>
      <c r="U534" s="593"/>
      <c r="V534" s="593"/>
      <c r="W534" s="593"/>
      <c r="X534" s="593"/>
      <c r="Y534" s="593"/>
      <c r="Z534" s="580"/>
      <c r="AA534" s="580"/>
      <c r="AB534" s="610"/>
      <c r="AC534" s="610"/>
      <c r="AD534" s="576"/>
      <c r="AE534" s="580"/>
      <c r="AF534" s="822"/>
      <c r="AG534" s="822"/>
      <c r="AH534" s="822"/>
      <c r="AI534" s="822"/>
      <c r="AJ534" s="822"/>
      <c r="AK534" s="806"/>
      <c r="AL534" s="806"/>
      <c r="AM534" s="806"/>
      <c r="AN534" s="806"/>
      <c r="AO534" s="806"/>
      <c r="AP534" s="806"/>
      <c r="AQ534" s="806"/>
      <c r="AR534" s="806"/>
      <c r="AS534" s="806"/>
      <c r="AT534" s="806"/>
      <c r="AU534" s="806"/>
      <c r="AV534" s="806"/>
      <c r="AW534" s="806"/>
      <c r="AX534" s="806"/>
      <c r="AY534" s="806"/>
    </row>
    <row r="535" spans="1:51" ht="28.9" customHeight="1" x14ac:dyDescent="0.25">
      <c r="A535" s="828"/>
      <c r="B535" s="822"/>
      <c r="C535" s="822"/>
      <c r="D535" s="578" t="s">
        <v>352</v>
      </c>
      <c r="E535" s="582">
        <v>22762145</v>
      </c>
      <c r="F535" s="582">
        <v>22762145</v>
      </c>
      <c r="G535" s="582">
        <v>22762145</v>
      </c>
      <c r="H535" s="582">
        <v>22762145</v>
      </c>
      <c r="I535" s="580">
        <v>22762145</v>
      </c>
      <c r="J535" s="580">
        <v>22762145</v>
      </c>
      <c r="K535" s="580">
        <v>22762145</v>
      </c>
      <c r="L535" s="580">
        <v>22762145</v>
      </c>
      <c r="M535" s="580">
        <v>22762145</v>
      </c>
      <c r="N535" s="592">
        <v>22762145</v>
      </c>
      <c r="O535" s="592">
        <v>22762145</v>
      </c>
      <c r="P535" s="593">
        <v>22762145</v>
      </c>
      <c r="Q535" s="593">
        <v>22762145</v>
      </c>
      <c r="R535" s="593">
        <v>22756165</v>
      </c>
      <c r="S535" s="593"/>
      <c r="T535" s="593">
        <v>15222533</v>
      </c>
      <c r="U535" s="593">
        <v>20364691</v>
      </c>
      <c r="V535" s="593">
        <v>20364691</v>
      </c>
      <c r="W535" s="593">
        <v>20364691</v>
      </c>
      <c r="X535" s="575">
        <v>20364691</v>
      </c>
      <c r="Y535" s="593">
        <v>20364691</v>
      </c>
      <c r="Z535" s="580">
        <v>20474980</v>
      </c>
      <c r="AA535" s="580">
        <v>20474980</v>
      </c>
      <c r="AB535" s="580">
        <v>20474980</v>
      </c>
      <c r="AC535" s="610">
        <v>22756165</v>
      </c>
      <c r="AD535" s="610">
        <v>22756165</v>
      </c>
      <c r="AE535" s="593">
        <v>22756165</v>
      </c>
      <c r="AF535" s="822"/>
      <c r="AG535" s="822"/>
      <c r="AH535" s="822"/>
      <c r="AI535" s="822"/>
      <c r="AJ535" s="822"/>
      <c r="AK535" s="806"/>
      <c r="AL535" s="806"/>
      <c r="AM535" s="806"/>
      <c r="AN535" s="806"/>
      <c r="AO535" s="806"/>
      <c r="AP535" s="806"/>
      <c r="AQ535" s="806"/>
      <c r="AR535" s="806"/>
      <c r="AS535" s="806"/>
      <c r="AT535" s="806"/>
      <c r="AU535" s="806"/>
      <c r="AV535" s="806"/>
      <c r="AW535" s="806"/>
      <c r="AX535" s="806"/>
      <c r="AY535" s="806"/>
    </row>
    <row r="536" spans="1:51" ht="28.9" customHeight="1" x14ac:dyDescent="0.25">
      <c r="A536" s="828"/>
      <c r="B536" s="822"/>
      <c r="C536" s="822"/>
      <c r="D536" s="579" t="s">
        <v>353</v>
      </c>
      <c r="E536" s="582">
        <v>34</v>
      </c>
      <c r="F536" s="582">
        <v>34</v>
      </c>
      <c r="G536" s="582">
        <v>34</v>
      </c>
      <c r="H536" s="582">
        <v>34</v>
      </c>
      <c r="I536" s="580">
        <v>34</v>
      </c>
      <c r="J536" s="580">
        <v>34</v>
      </c>
      <c r="K536" s="580">
        <v>34</v>
      </c>
      <c r="L536" s="580">
        <v>34</v>
      </c>
      <c r="M536" s="580">
        <v>34</v>
      </c>
      <c r="N536" s="592">
        <v>34</v>
      </c>
      <c r="O536" s="592">
        <v>34</v>
      </c>
      <c r="P536" s="593">
        <v>34</v>
      </c>
      <c r="Q536" s="593">
        <v>34</v>
      </c>
      <c r="R536" s="593">
        <v>34</v>
      </c>
      <c r="S536" s="593"/>
      <c r="T536" s="593">
        <v>0</v>
      </c>
      <c r="U536" s="593">
        <v>0</v>
      </c>
      <c r="V536" s="593">
        <v>0</v>
      </c>
      <c r="W536" s="593">
        <v>0</v>
      </c>
      <c r="X536" s="580">
        <v>14</v>
      </c>
      <c r="Y536" s="593">
        <v>17</v>
      </c>
      <c r="Z536" s="580">
        <v>20</v>
      </c>
      <c r="AA536" s="610">
        <v>26</v>
      </c>
      <c r="AB536" s="610">
        <v>26</v>
      </c>
      <c r="AC536" s="576">
        <v>29</v>
      </c>
      <c r="AD536" s="576">
        <v>32</v>
      </c>
      <c r="AE536" s="593">
        <v>34</v>
      </c>
      <c r="AF536" s="822"/>
      <c r="AG536" s="822"/>
      <c r="AH536" s="822"/>
      <c r="AI536" s="822"/>
      <c r="AJ536" s="822"/>
      <c r="AK536" s="806"/>
      <c r="AL536" s="806"/>
      <c r="AM536" s="806"/>
      <c r="AN536" s="806"/>
      <c r="AO536" s="806"/>
      <c r="AP536" s="806"/>
      <c r="AQ536" s="806"/>
      <c r="AR536" s="806"/>
      <c r="AS536" s="806"/>
      <c r="AT536" s="806"/>
      <c r="AU536" s="806"/>
      <c r="AV536" s="806"/>
      <c r="AW536" s="806"/>
      <c r="AX536" s="806"/>
      <c r="AY536" s="806"/>
    </row>
    <row r="537" spans="1:51" ht="28.9" customHeight="1" x14ac:dyDescent="0.25">
      <c r="A537" s="828"/>
      <c r="B537" s="822"/>
      <c r="C537" s="823"/>
      <c r="D537" s="578" t="s">
        <v>354</v>
      </c>
      <c r="E537" s="573">
        <v>383199145</v>
      </c>
      <c r="F537" s="573">
        <v>383199145</v>
      </c>
      <c r="G537" s="573">
        <v>383199145</v>
      </c>
      <c r="H537" s="582">
        <v>383199145</v>
      </c>
      <c r="I537" s="580">
        <v>383199145</v>
      </c>
      <c r="J537" s="580">
        <v>383199145</v>
      </c>
      <c r="K537" s="580">
        <v>383199145</v>
      </c>
      <c r="L537" s="580">
        <v>383199145</v>
      </c>
      <c r="M537" s="596">
        <f>+M533+M535</f>
        <v>355298945</v>
      </c>
      <c r="N537" s="592">
        <v>355298945</v>
      </c>
      <c r="O537" s="592">
        <v>355298945</v>
      </c>
      <c r="P537" s="593">
        <f t="shared" ref="P537:R537" si="152">+P533+P535</f>
        <v>358679178</v>
      </c>
      <c r="Q537" s="593">
        <f t="shared" si="152"/>
        <v>359707945</v>
      </c>
      <c r="R537" s="593">
        <f t="shared" si="152"/>
        <v>359701965</v>
      </c>
      <c r="S537" s="593"/>
      <c r="T537" s="574">
        <v>15222533</v>
      </c>
      <c r="U537" s="593">
        <v>306274691</v>
      </c>
      <c r="V537" s="593">
        <v>306274691</v>
      </c>
      <c r="W537" s="593">
        <v>337837691</v>
      </c>
      <c r="X537" s="593">
        <v>337837691</v>
      </c>
      <c r="Y537" s="593">
        <v>337837691</v>
      </c>
      <c r="Z537" s="596">
        <f t="shared" ref="Z537:AE537" si="153">+Z533+Z535</f>
        <v>337947980</v>
      </c>
      <c r="AA537" s="596">
        <f t="shared" si="153"/>
        <v>337947980</v>
      </c>
      <c r="AB537" s="596">
        <f t="shared" si="153"/>
        <v>337947980</v>
      </c>
      <c r="AC537" s="596">
        <f t="shared" si="153"/>
        <v>340229165</v>
      </c>
      <c r="AD537" s="596">
        <f t="shared" si="153"/>
        <v>340229165</v>
      </c>
      <c r="AE537" s="593">
        <f t="shared" si="153"/>
        <v>359701965</v>
      </c>
      <c r="AF537" s="823"/>
      <c r="AG537" s="823"/>
      <c r="AH537" s="823"/>
      <c r="AI537" s="823"/>
      <c r="AJ537" s="823"/>
      <c r="AK537" s="807"/>
      <c r="AL537" s="807"/>
      <c r="AM537" s="807"/>
      <c r="AN537" s="807"/>
      <c r="AO537" s="807"/>
      <c r="AP537" s="807"/>
      <c r="AQ537" s="807"/>
      <c r="AR537" s="807"/>
      <c r="AS537" s="807"/>
      <c r="AT537" s="807"/>
      <c r="AU537" s="807"/>
      <c r="AV537" s="807"/>
      <c r="AW537" s="807"/>
      <c r="AX537" s="807"/>
      <c r="AY537" s="807"/>
    </row>
    <row r="538" spans="1:51" ht="19.149999999999999" customHeight="1" x14ac:dyDescent="0.25">
      <c r="A538" s="828"/>
      <c r="B538" s="822"/>
      <c r="C538" s="837" t="s">
        <v>838</v>
      </c>
      <c r="D538" s="572" t="s">
        <v>345</v>
      </c>
      <c r="E538" s="582"/>
      <c r="F538" s="582"/>
      <c r="G538" s="597"/>
      <c r="H538" s="597"/>
      <c r="I538" s="596"/>
      <c r="J538" s="596"/>
      <c r="K538" s="596">
        <v>1</v>
      </c>
      <c r="L538" s="596">
        <v>1</v>
      </c>
      <c r="M538" s="596">
        <v>2</v>
      </c>
      <c r="N538" s="597">
        <v>3</v>
      </c>
      <c r="O538" s="597">
        <v>4</v>
      </c>
      <c r="P538" s="596">
        <v>4</v>
      </c>
      <c r="Q538" s="596">
        <v>5</v>
      </c>
      <c r="R538" s="596">
        <v>6</v>
      </c>
      <c r="S538" s="596"/>
      <c r="T538" s="593"/>
      <c r="U538" s="593"/>
      <c r="V538" s="596"/>
      <c r="W538" s="596"/>
      <c r="X538" s="596">
        <v>1</v>
      </c>
      <c r="Y538" s="596">
        <v>1</v>
      </c>
      <c r="Z538" s="596">
        <f t="shared" ref="Z538:AE553" si="154">+M538</f>
        <v>2</v>
      </c>
      <c r="AA538" s="580">
        <f t="shared" si="154"/>
        <v>3</v>
      </c>
      <c r="AB538" s="596">
        <f t="shared" si="154"/>
        <v>4</v>
      </c>
      <c r="AC538" s="596">
        <f t="shared" si="154"/>
        <v>4</v>
      </c>
      <c r="AD538" s="596">
        <f t="shared" si="154"/>
        <v>5</v>
      </c>
      <c r="AE538" s="596">
        <f t="shared" si="154"/>
        <v>6</v>
      </c>
      <c r="AF538" s="859" t="s">
        <v>839</v>
      </c>
      <c r="AG538" s="853" t="s">
        <v>840</v>
      </c>
      <c r="AH538" s="849" t="s">
        <v>841</v>
      </c>
      <c r="AI538" s="849" t="s">
        <v>842</v>
      </c>
      <c r="AJ538" s="849" t="s">
        <v>843</v>
      </c>
      <c r="AK538" s="850" t="s">
        <v>490</v>
      </c>
      <c r="AL538" s="851" t="s">
        <v>765</v>
      </c>
      <c r="AM538" s="826" t="s">
        <v>752</v>
      </c>
      <c r="AN538" s="851">
        <v>586954</v>
      </c>
      <c r="AO538" s="851">
        <v>269584</v>
      </c>
      <c r="AP538" s="851">
        <v>317370</v>
      </c>
      <c r="AQ538" s="860" t="s">
        <v>492</v>
      </c>
      <c r="AR538" s="860" t="s">
        <v>492</v>
      </c>
      <c r="AS538" s="860" t="s">
        <v>492</v>
      </c>
      <c r="AT538" s="860" t="s">
        <v>492</v>
      </c>
      <c r="AU538" s="860" t="s">
        <v>492</v>
      </c>
      <c r="AV538" s="860" t="s">
        <v>492</v>
      </c>
      <c r="AW538" s="860" t="s">
        <v>492</v>
      </c>
      <c r="AX538" s="851">
        <v>586954</v>
      </c>
      <c r="AY538" s="860" t="s">
        <v>837</v>
      </c>
    </row>
    <row r="539" spans="1:51" ht="19.149999999999999" customHeight="1" x14ac:dyDescent="0.25">
      <c r="A539" s="828"/>
      <c r="B539" s="822"/>
      <c r="C539" s="838"/>
      <c r="D539" s="578" t="s">
        <v>349</v>
      </c>
      <c r="E539" s="582"/>
      <c r="F539" s="582"/>
      <c r="G539" s="597"/>
      <c r="H539" s="597"/>
      <c r="I539" s="575"/>
      <c r="J539" s="575"/>
      <c r="K539" s="580">
        <v>22676642.857142858</v>
      </c>
      <c r="L539" s="580">
        <v>18674882.352941178</v>
      </c>
      <c r="M539" s="580">
        <f>+M538*$Z$533/$Z$532</f>
        <v>31747300</v>
      </c>
      <c r="N539" s="582">
        <f>+N538*$AA$533/$AA$532</f>
        <v>36631500</v>
      </c>
      <c r="O539" s="582">
        <f>+O538*$AB$533/$AB$532</f>
        <v>48842000</v>
      </c>
      <c r="P539" s="580">
        <f>+P538*$AC$533/$AC$532</f>
        <v>43789379.31034483</v>
      </c>
      <c r="Q539" s="580">
        <f>+Q538*$AD$533/$AD$532</f>
        <v>49605156.25</v>
      </c>
      <c r="R539" s="580">
        <f>+R538*$AE$533/$AE$532</f>
        <v>59461023.529411763</v>
      </c>
      <c r="S539" s="580"/>
      <c r="T539" s="593"/>
      <c r="U539" s="593"/>
      <c r="V539" s="596"/>
      <c r="W539" s="596"/>
      <c r="X539" s="596">
        <v>22676642.857142858</v>
      </c>
      <c r="Y539" s="596">
        <v>18674882.352941178</v>
      </c>
      <c r="Z539" s="596">
        <f t="shared" si="154"/>
        <v>31747300</v>
      </c>
      <c r="AA539" s="580">
        <f t="shared" si="154"/>
        <v>36631500</v>
      </c>
      <c r="AB539" s="596">
        <f t="shared" si="154"/>
        <v>48842000</v>
      </c>
      <c r="AC539" s="596">
        <f t="shared" si="154"/>
        <v>43789379.31034483</v>
      </c>
      <c r="AD539" s="596">
        <f t="shared" si="154"/>
        <v>49605156.25</v>
      </c>
      <c r="AE539" s="580">
        <f t="shared" si="154"/>
        <v>59461023.529411763</v>
      </c>
      <c r="AF539" s="822"/>
      <c r="AG539" s="828"/>
      <c r="AH539" s="822"/>
      <c r="AI539" s="822"/>
      <c r="AJ539" s="822"/>
      <c r="AK539" s="806"/>
      <c r="AL539" s="806"/>
      <c r="AM539" s="806"/>
      <c r="AN539" s="806"/>
      <c r="AO539" s="806"/>
      <c r="AP539" s="806"/>
      <c r="AQ539" s="806"/>
      <c r="AR539" s="806"/>
      <c r="AS539" s="806"/>
      <c r="AT539" s="806"/>
      <c r="AU539" s="806"/>
      <c r="AV539" s="806"/>
      <c r="AW539" s="806"/>
      <c r="AX539" s="806"/>
      <c r="AY539" s="806"/>
    </row>
    <row r="540" spans="1:51" ht="28.9" customHeight="1" x14ac:dyDescent="0.25">
      <c r="A540" s="828"/>
      <c r="B540" s="822"/>
      <c r="C540" s="838"/>
      <c r="D540" s="579" t="s">
        <v>351</v>
      </c>
      <c r="E540" s="582"/>
      <c r="F540" s="582"/>
      <c r="G540" s="597"/>
      <c r="H540" s="597"/>
      <c r="I540" s="596"/>
      <c r="J540" s="596"/>
      <c r="K540" s="596"/>
      <c r="L540" s="596"/>
      <c r="M540" s="596"/>
      <c r="N540" s="597"/>
      <c r="O540" s="597"/>
      <c r="P540" s="596"/>
      <c r="Q540" s="596"/>
      <c r="R540" s="596"/>
      <c r="S540" s="596"/>
      <c r="T540" s="593"/>
      <c r="U540" s="593"/>
      <c r="V540" s="596"/>
      <c r="W540" s="596"/>
      <c r="X540" s="596">
        <v>0</v>
      </c>
      <c r="Y540" s="596">
        <v>0</v>
      </c>
      <c r="Z540" s="596">
        <f t="shared" si="154"/>
        <v>0</v>
      </c>
      <c r="AA540" s="580">
        <f t="shared" si="154"/>
        <v>0</v>
      </c>
      <c r="AB540" s="596">
        <f t="shared" si="154"/>
        <v>0</v>
      </c>
      <c r="AC540" s="596">
        <f t="shared" si="154"/>
        <v>0</v>
      </c>
      <c r="AD540" s="596">
        <f t="shared" si="154"/>
        <v>0</v>
      </c>
      <c r="AE540" s="596">
        <f t="shared" si="154"/>
        <v>0</v>
      </c>
      <c r="AF540" s="822"/>
      <c r="AG540" s="828"/>
      <c r="AH540" s="822"/>
      <c r="AI540" s="822"/>
      <c r="AJ540" s="822"/>
      <c r="AK540" s="806"/>
      <c r="AL540" s="806"/>
      <c r="AM540" s="806"/>
      <c r="AN540" s="806"/>
      <c r="AO540" s="806"/>
      <c r="AP540" s="806"/>
      <c r="AQ540" s="806"/>
      <c r="AR540" s="806"/>
      <c r="AS540" s="806"/>
      <c r="AT540" s="806"/>
      <c r="AU540" s="806"/>
      <c r="AV540" s="806"/>
      <c r="AW540" s="806"/>
      <c r="AX540" s="806"/>
      <c r="AY540" s="806"/>
    </row>
    <row r="541" spans="1:51" ht="28.9" customHeight="1" x14ac:dyDescent="0.25">
      <c r="A541" s="828"/>
      <c r="B541" s="822"/>
      <c r="C541" s="838"/>
      <c r="D541" s="578" t="s">
        <v>352</v>
      </c>
      <c r="E541" s="582"/>
      <c r="F541" s="582"/>
      <c r="G541" s="597"/>
      <c r="H541" s="597"/>
      <c r="I541" s="596"/>
      <c r="J541" s="596"/>
      <c r="K541" s="596">
        <v>0</v>
      </c>
      <c r="L541" s="596">
        <v>0</v>
      </c>
      <c r="M541" s="596">
        <f t="shared" ref="M541:O541" si="155">+Z535/11</f>
        <v>1861361.8181818181</v>
      </c>
      <c r="N541" s="597">
        <f t="shared" si="155"/>
        <v>1861361.8181818181</v>
      </c>
      <c r="O541" s="597">
        <f t="shared" si="155"/>
        <v>1861361.8181818181</v>
      </c>
      <c r="P541" s="596">
        <f t="shared" ref="P541:R541" si="156">+AC535/13</f>
        <v>1750474.2307692308</v>
      </c>
      <c r="Q541" s="596">
        <f t="shared" si="156"/>
        <v>1750474.2307692308</v>
      </c>
      <c r="R541" s="596">
        <f t="shared" si="156"/>
        <v>1750474.2307692308</v>
      </c>
      <c r="S541" s="596"/>
      <c r="T541" s="593"/>
      <c r="U541" s="593"/>
      <c r="V541" s="596"/>
      <c r="W541" s="596"/>
      <c r="X541" s="596">
        <v>0</v>
      </c>
      <c r="Y541" s="596">
        <v>0</v>
      </c>
      <c r="Z541" s="596">
        <f t="shared" si="154"/>
        <v>1861361.8181818181</v>
      </c>
      <c r="AA541" s="580">
        <f t="shared" si="154"/>
        <v>1861361.8181818181</v>
      </c>
      <c r="AB541" s="596">
        <f t="shared" si="154"/>
        <v>1861361.8181818181</v>
      </c>
      <c r="AC541" s="596">
        <f t="shared" si="154"/>
        <v>1750474.2307692308</v>
      </c>
      <c r="AD541" s="596">
        <f t="shared" si="154"/>
        <v>1750474.2307692308</v>
      </c>
      <c r="AE541" s="596">
        <f t="shared" si="154"/>
        <v>1750474.2307692308</v>
      </c>
      <c r="AF541" s="822"/>
      <c r="AG541" s="828"/>
      <c r="AH541" s="822"/>
      <c r="AI541" s="822"/>
      <c r="AJ541" s="822"/>
      <c r="AK541" s="806"/>
      <c r="AL541" s="806"/>
      <c r="AM541" s="806"/>
      <c r="AN541" s="806"/>
      <c r="AO541" s="806"/>
      <c r="AP541" s="806"/>
      <c r="AQ541" s="806"/>
      <c r="AR541" s="806"/>
      <c r="AS541" s="806"/>
      <c r="AT541" s="806"/>
      <c r="AU541" s="806"/>
      <c r="AV541" s="806"/>
      <c r="AW541" s="806"/>
      <c r="AX541" s="806"/>
      <c r="AY541" s="806"/>
    </row>
    <row r="542" spans="1:51" ht="28.9" customHeight="1" x14ac:dyDescent="0.25">
      <c r="A542" s="828"/>
      <c r="B542" s="822"/>
      <c r="C542" s="838"/>
      <c r="D542" s="579" t="s">
        <v>353</v>
      </c>
      <c r="E542" s="582"/>
      <c r="F542" s="582"/>
      <c r="G542" s="597"/>
      <c r="H542" s="597"/>
      <c r="I542" s="596"/>
      <c r="J542" s="596"/>
      <c r="K542" s="596">
        <v>1</v>
      </c>
      <c r="L542" s="596">
        <v>1</v>
      </c>
      <c r="M542" s="596">
        <v>2</v>
      </c>
      <c r="N542" s="597">
        <v>3</v>
      </c>
      <c r="O542" s="597">
        <v>4</v>
      </c>
      <c r="P542" s="596">
        <v>4</v>
      </c>
      <c r="Q542" s="596">
        <v>5</v>
      </c>
      <c r="R542" s="596">
        <v>6</v>
      </c>
      <c r="S542" s="596"/>
      <c r="T542" s="593"/>
      <c r="U542" s="593"/>
      <c r="V542" s="596"/>
      <c r="W542" s="596"/>
      <c r="X542" s="596">
        <v>1</v>
      </c>
      <c r="Y542" s="596">
        <v>1</v>
      </c>
      <c r="Z542" s="596">
        <f t="shared" si="154"/>
        <v>2</v>
      </c>
      <c r="AA542" s="580">
        <f t="shared" si="154"/>
        <v>3</v>
      </c>
      <c r="AB542" s="596">
        <f t="shared" si="154"/>
        <v>4</v>
      </c>
      <c r="AC542" s="596">
        <f t="shared" si="154"/>
        <v>4</v>
      </c>
      <c r="AD542" s="596">
        <f t="shared" si="154"/>
        <v>5</v>
      </c>
      <c r="AE542" s="596">
        <f t="shared" si="154"/>
        <v>6</v>
      </c>
      <c r="AF542" s="822"/>
      <c r="AG542" s="828"/>
      <c r="AH542" s="822"/>
      <c r="AI542" s="822"/>
      <c r="AJ542" s="822"/>
      <c r="AK542" s="806"/>
      <c r="AL542" s="806"/>
      <c r="AM542" s="806"/>
      <c r="AN542" s="806"/>
      <c r="AO542" s="806"/>
      <c r="AP542" s="806"/>
      <c r="AQ542" s="806"/>
      <c r="AR542" s="806"/>
      <c r="AS542" s="806"/>
      <c r="AT542" s="806"/>
      <c r="AU542" s="806"/>
      <c r="AV542" s="806"/>
      <c r="AW542" s="806"/>
      <c r="AX542" s="806"/>
      <c r="AY542" s="806"/>
    </row>
    <row r="543" spans="1:51" ht="28.9" customHeight="1" x14ac:dyDescent="0.25">
      <c r="A543" s="828"/>
      <c r="B543" s="822"/>
      <c r="C543" s="839"/>
      <c r="D543" s="578" t="s">
        <v>354</v>
      </c>
      <c r="E543" s="582"/>
      <c r="F543" s="582"/>
      <c r="G543" s="597"/>
      <c r="H543" s="597"/>
      <c r="I543" s="575"/>
      <c r="J543" s="575"/>
      <c r="K543" s="596">
        <v>22676642.857142858</v>
      </c>
      <c r="L543" s="575">
        <v>18674882.352941178</v>
      </c>
      <c r="M543" s="596">
        <f t="shared" ref="M543:R543" si="157">+M539+M541</f>
        <v>33608661.81818182</v>
      </c>
      <c r="N543" s="597">
        <f t="shared" si="157"/>
        <v>38492861.81818182</v>
      </c>
      <c r="O543" s="597">
        <f t="shared" si="157"/>
        <v>50703361.81818182</v>
      </c>
      <c r="P543" s="596">
        <f t="shared" si="157"/>
        <v>45539853.541114062</v>
      </c>
      <c r="Q543" s="596">
        <f t="shared" si="157"/>
        <v>51355630.480769232</v>
      </c>
      <c r="R543" s="596">
        <f t="shared" si="157"/>
        <v>61211497.760180995</v>
      </c>
      <c r="S543" s="596"/>
      <c r="T543" s="593"/>
      <c r="U543" s="593"/>
      <c r="V543" s="596"/>
      <c r="W543" s="596"/>
      <c r="X543" s="596">
        <v>22676642.857142858</v>
      </c>
      <c r="Y543" s="596">
        <v>18674882.352941178</v>
      </c>
      <c r="Z543" s="596">
        <f t="shared" si="154"/>
        <v>33608661.81818182</v>
      </c>
      <c r="AA543" s="580">
        <f t="shared" si="154"/>
        <v>38492861.81818182</v>
      </c>
      <c r="AB543" s="596">
        <f t="shared" si="154"/>
        <v>50703361.81818182</v>
      </c>
      <c r="AC543" s="596">
        <f t="shared" si="154"/>
        <v>45539853.541114062</v>
      </c>
      <c r="AD543" s="596">
        <f t="shared" si="154"/>
        <v>51355630.480769232</v>
      </c>
      <c r="AE543" s="596">
        <f t="shared" si="154"/>
        <v>61211497.760180995</v>
      </c>
      <c r="AF543" s="823"/>
      <c r="AG543" s="829"/>
      <c r="AH543" s="823"/>
      <c r="AI543" s="823"/>
      <c r="AJ543" s="823"/>
      <c r="AK543" s="807"/>
      <c r="AL543" s="807"/>
      <c r="AM543" s="807"/>
      <c r="AN543" s="807"/>
      <c r="AO543" s="807"/>
      <c r="AP543" s="807"/>
      <c r="AQ543" s="807"/>
      <c r="AR543" s="807"/>
      <c r="AS543" s="807"/>
      <c r="AT543" s="807"/>
      <c r="AU543" s="807"/>
      <c r="AV543" s="807"/>
      <c r="AW543" s="807"/>
      <c r="AX543" s="807"/>
      <c r="AY543" s="807"/>
    </row>
    <row r="544" spans="1:51" ht="19.149999999999999" customHeight="1" x14ac:dyDescent="0.25">
      <c r="A544" s="828"/>
      <c r="B544" s="822"/>
      <c r="C544" s="837" t="s">
        <v>511</v>
      </c>
      <c r="D544" s="572" t="s">
        <v>345</v>
      </c>
      <c r="E544" s="582"/>
      <c r="F544" s="582"/>
      <c r="G544" s="597"/>
      <c r="H544" s="597"/>
      <c r="I544" s="575"/>
      <c r="J544" s="596">
        <v>1</v>
      </c>
      <c r="K544" s="596">
        <v>1</v>
      </c>
      <c r="L544" s="596">
        <v>2</v>
      </c>
      <c r="M544" s="596">
        <v>2</v>
      </c>
      <c r="N544" s="597">
        <v>2</v>
      </c>
      <c r="O544" s="597">
        <v>2</v>
      </c>
      <c r="P544" s="596">
        <v>3</v>
      </c>
      <c r="Q544" s="596">
        <v>3</v>
      </c>
      <c r="R544" s="596">
        <v>3</v>
      </c>
      <c r="S544" s="596"/>
      <c r="T544" s="596"/>
      <c r="U544" s="596"/>
      <c r="V544" s="575"/>
      <c r="W544" s="596">
        <v>1</v>
      </c>
      <c r="X544" s="596">
        <v>1</v>
      </c>
      <c r="Y544" s="596">
        <v>2</v>
      </c>
      <c r="Z544" s="596">
        <f t="shared" si="154"/>
        <v>2</v>
      </c>
      <c r="AA544" s="580">
        <f t="shared" si="154"/>
        <v>2</v>
      </c>
      <c r="AB544" s="596">
        <f t="shared" si="154"/>
        <v>2</v>
      </c>
      <c r="AC544" s="596">
        <f t="shared" si="154"/>
        <v>3</v>
      </c>
      <c r="AD544" s="596">
        <f t="shared" si="154"/>
        <v>3</v>
      </c>
      <c r="AE544" s="596">
        <f t="shared" si="154"/>
        <v>3</v>
      </c>
      <c r="AF544" s="852" t="s">
        <v>844</v>
      </c>
      <c r="AG544" s="853" t="s">
        <v>688</v>
      </c>
      <c r="AH544" s="849">
        <v>97</v>
      </c>
      <c r="AI544" s="849" t="s">
        <v>845</v>
      </c>
      <c r="AJ544" s="849" t="s">
        <v>846</v>
      </c>
      <c r="AK544" s="850" t="s">
        <v>490</v>
      </c>
      <c r="AL544" s="851" t="s">
        <v>765</v>
      </c>
      <c r="AM544" s="851" t="s">
        <v>752</v>
      </c>
      <c r="AN544" s="851">
        <v>179406</v>
      </c>
      <c r="AO544" s="851">
        <v>86201</v>
      </c>
      <c r="AP544" s="851">
        <v>93205</v>
      </c>
      <c r="AQ544" s="845" t="s">
        <v>492</v>
      </c>
      <c r="AR544" s="845" t="s">
        <v>492</v>
      </c>
      <c r="AS544" s="845" t="s">
        <v>492</v>
      </c>
      <c r="AT544" s="845" t="s">
        <v>492</v>
      </c>
      <c r="AU544" s="845" t="s">
        <v>492</v>
      </c>
      <c r="AV544" s="845" t="s">
        <v>492</v>
      </c>
      <c r="AW544" s="845" t="s">
        <v>492</v>
      </c>
      <c r="AX544" s="854">
        <v>179406</v>
      </c>
      <c r="AY544" s="845" t="s">
        <v>837</v>
      </c>
    </row>
    <row r="545" spans="1:51" ht="19.149999999999999" customHeight="1" x14ac:dyDescent="0.25">
      <c r="A545" s="828"/>
      <c r="B545" s="822"/>
      <c r="C545" s="838"/>
      <c r="D545" s="578" t="s">
        <v>349</v>
      </c>
      <c r="E545" s="582"/>
      <c r="F545" s="582"/>
      <c r="G545" s="597"/>
      <c r="H545" s="597"/>
      <c r="I545" s="575"/>
      <c r="J545" s="580">
        <v>31747300</v>
      </c>
      <c r="K545" s="580">
        <v>22676642.857142858</v>
      </c>
      <c r="L545" s="580">
        <v>37349764.705882356</v>
      </c>
      <c r="M545" s="580">
        <f>+M544*$Z$533/$Z$532</f>
        <v>31747300</v>
      </c>
      <c r="N545" s="582">
        <f>+N544*$AA$533/$AA$532</f>
        <v>24421000</v>
      </c>
      <c r="O545" s="582">
        <f>+O544*$AB$533/$AB$532</f>
        <v>24421000</v>
      </c>
      <c r="P545" s="580">
        <f>+P544*$AC$533/$AC$532</f>
        <v>32842034.482758619</v>
      </c>
      <c r="Q545" s="580">
        <f>+Q544*$AD$533/$AD$532</f>
        <v>29763093.75</v>
      </c>
      <c r="R545" s="580">
        <f>+R544*$AE$533/$AE$532</f>
        <v>29730511.764705881</v>
      </c>
      <c r="S545" s="580"/>
      <c r="T545" s="596"/>
      <c r="U545" s="596"/>
      <c r="V545" s="575"/>
      <c r="W545" s="596">
        <v>31747300</v>
      </c>
      <c r="X545" s="596">
        <v>22676642.857142858</v>
      </c>
      <c r="Y545" s="596">
        <v>37349764.705882356</v>
      </c>
      <c r="Z545" s="596">
        <f t="shared" si="154"/>
        <v>31747300</v>
      </c>
      <c r="AA545" s="580">
        <f t="shared" si="154"/>
        <v>24421000</v>
      </c>
      <c r="AB545" s="596">
        <f t="shared" si="154"/>
        <v>24421000</v>
      </c>
      <c r="AC545" s="596">
        <f t="shared" si="154"/>
        <v>32842034.482758619</v>
      </c>
      <c r="AD545" s="596">
        <f t="shared" si="154"/>
        <v>29763093.75</v>
      </c>
      <c r="AE545" s="580">
        <f t="shared" si="154"/>
        <v>29730511.764705881</v>
      </c>
      <c r="AF545" s="838"/>
      <c r="AG545" s="828"/>
      <c r="AH545" s="822"/>
      <c r="AI545" s="822"/>
      <c r="AJ545" s="822"/>
      <c r="AK545" s="806"/>
      <c r="AL545" s="806"/>
      <c r="AM545" s="806"/>
      <c r="AN545" s="806"/>
      <c r="AO545" s="806"/>
      <c r="AP545" s="806"/>
      <c r="AQ545" s="806"/>
      <c r="AR545" s="806"/>
      <c r="AS545" s="806"/>
      <c r="AT545" s="806"/>
      <c r="AU545" s="806"/>
      <c r="AV545" s="806"/>
      <c r="AW545" s="806"/>
      <c r="AX545" s="806"/>
      <c r="AY545" s="806"/>
    </row>
    <row r="546" spans="1:51" ht="28.9" customHeight="1" x14ac:dyDescent="0.25">
      <c r="A546" s="828"/>
      <c r="B546" s="822"/>
      <c r="C546" s="838"/>
      <c r="D546" s="579" t="s">
        <v>351</v>
      </c>
      <c r="E546" s="582"/>
      <c r="F546" s="582"/>
      <c r="G546" s="597"/>
      <c r="H546" s="597"/>
      <c r="I546" s="575"/>
      <c r="J546" s="596"/>
      <c r="K546" s="596"/>
      <c r="L546" s="596"/>
      <c r="M546" s="596"/>
      <c r="N546" s="597"/>
      <c r="O546" s="597"/>
      <c r="P546" s="596"/>
      <c r="Q546" s="596"/>
      <c r="R546" s="596"/>
      <c r="S546" s="596"/>
      <c r="T546" s="596"/>
      <c r="U546" s="596"/>
      <c r="V546" s="575"/>
      <c r="W546" s="596">
        <v>0</v>
      </c>
      <c r="X546" s="596">
        <v>0</v>
      </c>
      <c r="Y546" s="596">
        <v>0</v>
      </c>
      <c r="Z546" s="596">
        <f t="shared" si="154"/>
        <v>0</v>
      </c>
      <c r="AA546" s="580">
        <f t="shared" si="154"/>
        <v>0</v>
      </c>
      <c r="AB546" s="596">
        <f t="shared" si="154"/>
        <v>0</v>
      </c>
      <c r="AC546" s="596">
        <f t="shared" si="154"/>
        <v>0</v>
      </c>
      <c r="AD546" s="596">
        <f t="shared" si="154"/>
        <v>0</v>
      </c>
      <c r="AE546" s="596">
        <f t="shared" si="154"/>
        <v>0</v>
      </c>
      <c r="AF546" s="838"/>
      <c r="AG546" s="828"/>
      <c r="AH546" s="822"/>
      <c r="AI546" s="822"/>
      <c r="AJ546" s="822"/>
      <c r="AK546" s="806"/>
      <c r="AL546" s="806"/>
      <c r="AM546" s="806"/>
      <c r="AN546" s="806"/>
      <c r="AO546" s="806"/>
      <c r="AP546" s="806"/>
      <c r="AQ546" s="806"/>
      <c r="AR546" s="806"/>
      <c r="AS546" s="806"/>
      <c r="AT546" s="806"/>
      <c r="AU546" s="806"/>
      <c r="AV546" s="806"/>
      <c r="AW546" s="806"/>
      <c r="AX546" s="806"/>
      <c r="AY546" s="806"/>
    </row>
    <row r="547" spans="1:51" ht="28.9" customHeight="1" x14ac:dyDescent="0.25">
      <c r="A547" s="828"/>
      <c r="B547" s="822"/>
      <c r="C547" s="838"/>
      <c r="D547" s="578" t="s">
        <v>352</v>
      </c>
      <c r="E547" s="582"/>
      <c r="F547" s="582"/>
      <c r="G547" s="597"/>
      <c r="H547" s="597"/>
      <c r="I547" s="575"/>
      <c r="J547" s="596"/>
      <c r="K547" s="596"/>
      <c r="L547" s="596"/>
      <c r="M547" s="596">
        <v>1861361.8181818181</v>
      </c>
      <c r="N547" s="597">
        <v>1861361.8181818181</v>
      </c>
      <c r="O547" s="597">
        <v>1861361.8181818181</v>
      </c>
      <c r="P547" s="596">
        <v>1750474.2307692308</v>
      </c>
      <c r="Q547" s="596">
        <v>1750474.2307692308</v>
      </c>
      <c r="R547" s="596">
        <v>1750474.2307692308</v>
      </c>
      <c r="S547" s="596"/>
      <c r="T547" s="596"/>
      <c r="U547" s="596"/>
      <c r="V547" s="575"/>
      <c r="W547" s="596">
        <v>0</v>
      </c>
      <c r="X547" s="596">
        <v>0</v>
      </c>
      <c r="Y547" s="596">
        <v>0</v>
      </c>
      <c r="Z547" s="596">
        <f t="shared" si="154"/>
        <v>1861361.8181818181</v>
      </c>
      <c r="AA547" s="580">
        <f t="shared" si="154"/>
        <v>1861361.8181818181</v>
      </c>
      <c r="AB547" s="596">
        <f t="shared" si="154"/>
        <v>1861361.8181818181</v>
      </c>
      <c r="AC547" s="596">
        <f t="shared" si="154"/>
        <v>1750474.2307692308</v>
      </c>
      <c r="AD547" s="596">
        <f t="shared" si="154"/>
        <v>1750474.2307692308</v>
      </c>
      <c r="AE547" s="596">
        <f t="shared" si="154"/>
        <v>1750474.2307692308</v>
      </c>
      <c r="AF547" s="838"/>
      <c r="AG547" s="828"/>
      <c r="AH547" s="822"/>
      <c r="AI547" s="822"/>
      <c r="AJ547" s="822"/>
      <c r="AK547" s="806"/>
      <c r="AL547" s="806"/>
      <c r="AM547" s="806"/>
      <c r="AN547" s="806"/>
      <c r="AO547" s="806"/>
      <c r="AP547" s="806"/>
      <c r="AQ547" s="806"/>
      <c r="AR547" s="806"/>
      <c r="AS547" s="806"/>
      <c r="AT547" s="806"/>
      <c r="AU547" s="806"/>
      <c r="AV547" s="806"/>
      <c r="AW547" s="806"/>
      <c r="AX547" s="806"/>
      <c r="AY547" s="806"/>
    </row>
    <row r="548" spans="1:51" ht="28.9" customHeight="1" x14ac:dyDescent="0.25">
      <c r="A548" s="828"/>
      <c r="B548" s="822"/>
      <c r="C548" s="838"/>
      <c r="D548" s="579" t="s">
        <v>353</v>
      </c>
      <c r="E548" s="582"/>
      <c r="F548" s="582"/>
      <c r="G548" s="597"/>
      <c r="H548" s="597"/>
      <c r="I548" s="575"/>
      <c r="J548" s="596">
        <v>1</v>
      </c>
      <c r="K548" s="596">
        <v>1</v>
      </c>
      <c r="L548" s="596">
        <v>2</v>
      </c>
      <c r="M548" s="596">
        <v>2</v>
      </c>
      <c r="N548" s="597">
        <v>2</v>
      </c>
      <c r="O548" s="597">
        <v>2</v>
      </c>
      <c r="P548" s="596">
        <v>3</v>
      </c>
      <c r="Q548" s="596">
        <v>3</v>
      </c>
      <c r="R548" s="596">
        <v>3</v>
      </c>
      <c r="S548" s="596"/>
      <c r="T548" s="596"/>
      <c r="U548" s="596"/>
      <c r="V548" s="575"/>
      <c r="W548" s="596">
        <v>1</v>
      </c>
      <c r="X548" s="596">
        <v>1</v>
      </c>
      <c r="Y548" s="596">
        <v>2</v>
      </c>
      <c r="Z548" s="596">
        <f t="shared" si="154"/>
        <v>2</v>
      </c>
      <c r="AA548" s="580">
        <f t="shared" si="154"/>
        <v>2</v>
      </c>
      <c r="AB548" s="596">
        <f t="shared" si="154"/>
        <v>2</v>
      </c>
      <c r="AC548" s="596">
        <f t="shared" si="154"/>
        <v>3</v>
      </c>
      <c r="AD548" s="596">
        <f t="shared" si="154"/>
        <v>3</v>
      </c>
      <c r="AE548" s="596">
        <f t="shared" si="154"/>
        <v>3</v>
      </c>
      <c r="AF548" s="838"/>
      <c r="AG548" s="828"/>
      <c r="AH548" s="822"/>
      <c r="AI548" s="822"/>
      <c r="AJ548" s="822"/>
      <c r="AK548" s="806"/>
      <c r="AL548" s="806"/>
      <c r="AM548" s="806"/>
      <c r="AN548" s="806"/>
      <c r="AO548" s="806"/>
      <c r="AP548" s="806"/>
      <c r="AQ548" s="806"/>
      <c r="AR548" s="806"/>
      <c r="AS548" s="806"/>
      <c r="AT548" s="806"/>
      <c r="AU548" s="806"/>
      <c r="AV548" s="806"/>
      <c r="AW548" s="806"/>
      <c r="AX548" s="806"/>
      <c r="AY548" s="806"/>
    </row>
    <row r="549" spans="1:51" ht="28.9" customHeight="1" x14ac:dyDescent="0.25">
      <c r="A549" s="828"/>
      <c r="B549" s="822"/>
      <c r="C549" s="839"/>
      <c r="D549" s="578" t="s">
        <v>354</v>
      </c>
      <c r="E549" s="582"/>
      <c r="F549" s="582"/>
      <c r="G549" s="597"/>
      <c r="H549" s="597"/>
      <c r="I549" s="575"/>
      <c r="J549" s="575">
        <v>31747300</v>
      </c>
      <c r="K549" s="575">
        <v>22676642.857142858</v>
      </c>
      <c r="L549" s="575">
        <v>37349764.705882356</v>
      </c>
      <c r="M549" s="596">
        <f t="shared" ref="M549:R549" si="158">+M545+M547</f>
        <v>33608661.81818182</v>
      </c>
      <c r="N549" s="597">
        <f t="shared" si="158"/>
        <v>26282361.818181816</v>
      </c>
      <c r="O549" s="597">
        <f t="shared" si="158"/>
        <v>26282361.818181816</v>
      </c>
      <c r="P549" s="596">
        <f t="shared" si="158"/>
        <v>34592508.713527851</v>
      </c>
      <c r="Q549" s="596">
        <f t="shared" si="158"/>
        <v>31513567.980769232</v>
      </c>
      <c r="R549" s="596">
        <f t="shared" si="158"/>
        <v>31480985.995475113</v>
      </c>
      <c r="S549" s="596"/>
      <c r="T549" s="596"/>
      <c r="U549" s="596"/>
      <c r="V549" s="575"/>
      <c r="W549" s="596">
        <v>31747300</v>
      </c>
      <c r="X549" s="596">
        <v>22676642.857142858</v>
      </c>
      <c r="Y549" s="596">
        <v>37349764.705882356</v>
      </c>
      <c r="Z549" s="596">
        <f t="shared" si="154"/>
        <v>33608661.81818182</v>
      </c>
      <c r="AA549" s="580">
        <f t="shared" si="154"/>
        <v>26282361.818181816</v>
      </c>
      <c r="AB549" s="596">
        <f t="shared" si="154"/>
        <v>26282361.818181816</v>
      </c>
      <c r="AC549" s="596">
        <f t="shared" si="154"/>
        <v>34592508.713527851</v>
      </c>
      <c r="AD549" s="596">
        <f t="shared" si="154"/>
        <v>31513567.980769232</v>
      </c>
      <c r="AE549" s="596">
        <f t="shared" si="154"/>
        <v>31480985.995475113</v>
      </c>
      <c r="AF549" s="839"/>
      <c r="AG549" s="829"/>
      <c r="AH549" s="823"/>
      <c r="AI549" s="823"/>
      <c r="AJ549" s="823"/>
      <c r="AK549" s="807"/>
      <c r="AL549" s="807"/>
      <c r="AM549" s="807"/>
      <c r="AN549" s="807"/>
      <c r="AO549" s="807"/>
      <c r="AP549" s="807"/>
      <c r="AQ549" s="807"/>
      <c r="AR549" s="807"/>
      <c r="AS549" s="807"/>
      <c r="AT549" s="807"/>
      <c r="AU549" s="807"/>
      <c r="AV549" s="807"/>
      <c r="AW549" s="807"/>
      <c r="AX549" s="807"/>
      <c r="AY549" s="807"/>
    </row>
    <row r="550" spans="1:51" ht="19.149999999999999" customHeight="1" x14ac:dyDescent="0.25">
      <c r="A550" s="828"/>
      <c r="B550" s="822"/>
      <c r="C550" s="837" t="s">
        <v>522</v>
      </c>
      <c r="D550" s="572" t="s">
        <v>345</v>
      </c>
      <c r="E550" s="582"/>
      <c r="F550" s="582"/>
      <c r="G550" s="597"/>
      <c r="H550" s="597"/>
      <c r="I550" s="596">
        <v>1</v>
      </c>
      <c r="J550" s="596">
        <v>1</v>
      </c>
      <c r="K550" s="621">
        <v>1</v>
      </c>
      <c r="L550" s="596">
        <v>1</v>
      </c>
      <c r="M550" s="596">
        <v>1</v>
      </c>
      <c r="N550" s="597">
        <v>1</v>
      </c>
      <c r="O550" s="597">
        <v>1</v>
      </c>
      <c r="P550" s="596">
        <v>1</v>
      </c>
      <c r="Q550" s="596">
        <v>1</v>
      </c>
      <c r="R550" s="596">
        <v>1</v>
      </c>
      <c r="S550" s="596"/>
      <c r="T550" s="593"/>
      <c r="U550" s="596"/>
      <c r="V550" s="596">
        <v>1</v>
      </c>
      <c r="W550" s="596">
        <v>1</v>
      </c>
      <c r="X550" s="596">
        <v>1</v>
      </c>
      <c r="Y550" s="596">
        <v>1</v>
      </c>
      <c r="Z550" s="596">
        <f t="shared" si="154"/>
        <v>1</v>
      </c>
      <c r="AA550" s="580">
        <f t="shared" si="154"/>
        <v>1</v>
      </c>
      <c r="AB550" s="596">
        <f t="shared" si="154"/>
        <v>1</v>
      </c>
      <c r="AC550" s="596">
        <f t="shared" si="154"/>
        <v>1</v>
      </c>
      <c r="AD550" s="596">
        <f t="shared" si="154"/>
        <v>1</v>
      </c>
      <c r="AE550" s="596">
        <f t="shared" si="154"/>
        <v>1</v>
      </c>
      <c r="AF550" s="852" t="s">
        <v>847</v>
      </c>
      <c r="AG550" s="849" t="s">
        <v>758</v>
      </c>
      <c r="AH550" s="849">
        <v>50</v>
      </c>
      <c r="AI550" s="849" t="s">
        <v>848</v>
      </c>
      <c r="AJ550" s="849" t="s">
        <v>849</v>
      </c>
      <c r="AK550" s="851" t="s">
        <v>490</v>
      </c>
      <c r="AL550" s="851">
        <v>1</v>
      </c>
      <c r="AM550" s="851" t="s">
        <v>752</v>
      </c>
      <c r="AN550" s="851">
        <v>406498</v>
      </c>
      <c r="AO550" s="851">
        <v>195731</v>
      </c>
      <c r="AP550" s="851">
        <v>210767</v>
      </c>
      <c r="AQ550" s="845" t="s">
        <v>492</v>
      </c>
      <c r="AR550" s="845" t="s">
        <v>492</v>
      </c>
      <c r="AS550" s="845" t="s">
        <v>492</v>
      </c>
      <c r="AT550" s="845" t="s">
        <v>492</v>
      </c>
      <c r="AU550" s="845" t="s">
        <v>492</v>
      </c>
      <c r="AV550" s="845" t="s">
        <v>492</v>
      </c>
      <c r="AW550" s="845" t="s">
        <v>492</v>
      </c>
      <c r="AX550" s="854">
        <v>406498</v>
      </c>
      <c r="AY550" s="854" t="s">
        <v>837</v>
      </c>
    </row>
    <row r="551" spans="1:51" ht="19.149999999999999" customHeight="1" x14ac:dyDescent="0.25">
      <c r="A551" s="828"/>
      <c r="B551" s="822"/>
      <c r="C551" s="838"/>
      <c r="D551" s="578" t="s">
        <v>349</v>
      </c>
      <c r="E551" s="582"/>
      <c r="F551" s="582"/>
      <c r="G551" s="597"/>
      <c r="H551" s="583"/>
      <c r="I551" s="580">
        <v>19555333.333333332</v>
      </c>
      <c r="J551" s="580">
        <v>31747300</v>
      </c>
      <c r="K551" s="580">
        <v>22676642.857142858</v>
      </c>
      <c r="L551" s="580">
        <v>18674882.352941178</v>
      </c>
      <c r="M551" s="580">
        <f>+M550*$Z$533/$Z$532</f>
        <v>15873650</v>
      </c>
      <c r="N551" s="582">
        <f>+N550*$AA$533/$AA$532</f>
        <v>12210500</v>
      </c>
      <c r="O551" s="582">
        <f>+O550*$AB$533/$AB$532</f>
        <v>12210500</v>
      </c>
      <c r="P551" s="580">
        <f>+P550*$AC$533/$AC$532</f>
        <v>10947344.827586208</v>
      </c>
      <c r="Q551" s="580">
        <f>+Q550*$AD$533/$AD$532</f>
        <v>9921031.25</v>
      </c>
      <c r="R551" s="580">
        <f>+R550*$AE$533/$AE$532</f>
        <v>9910170.5882352944</v>
      </c>
      <c r="S551" s="580"/>
      <c r="T551" s="593"/>
      <c r="U551" s="575"/>
      <c r="V551" s="596">
        <v>19555333.333333332</v>
      </c>
      <c r="W551" s="596">
        <v>31747300</v>
      </c>
      <c r="X551" s="596">
        <v>22676642.857142858</v>
      </c>
      <c r="Y551" s="596">
        <v>18674882.352941178</v>
      </c>
      <c r="Z551" s="596">
        <f t="shared" si="154"/>
        <v>15873650</v>
      </c>
      <c r="AA551" s="580">
        <f t="shared" si="154"/>
        <v>12210500</v>
      </c>
      <c r="AB551" s="596">
        <f t="shared" si="154"/>
        <v>12210500</v>
      </c>
      <c r="AC551" s="596">
        <f t="shared" si="154"/>
        <v>10947344.827586208</v>
      </c>
      <c r="AD551" s="596">
        <f t="shared" si="154"/>
        <v>9921031.25</v>
      </c>
      <c r="AE551" s="580">
        <f t="shared" si="154"/>
        <v>9910170.5882352944</v>
      </c>
      <c r="AF551" s="838"/>
      <c r="AG551" s="822"/>
      <c r="AH551" s="822"/>
      <c r="AI551" s="822"/>
      <c r="AJ551" s="822"/>
      <c r="AK551" s="806"/>
      <c r="AL551" s="806"/>
      <c r="AM551" s="806"/>
      <c r="AN551" s="806"/>
      <c r="AO551" s="806"/>
      <c r="AP551" s="806"/>
      <c r="AQ551" s="806"/>
      <c r="AR551" s="806"/>
      <c r="AS551" s="806"/>
      <c r="AT551" s="806"/>
      <c r="AU551" s="806"/>
      <c r="AV551" s="806"/>
      <c r="AW551" s="806"/>
      <c r="AX551" s="806"/>
      <c r="AY551" s="806"/>
    </row>
    <row r="552" spans="1:51" ht="28.9" customHeight="1" x14ac:dyDescent="0.25">
      <c r="A552" s="828"/>
      <c r="B552" s="822"/>
      <c r="C552" s="838"/>
      <c r="D552" s="579" t="s">
        <v>351</v>
      </c>
      <c r="E552" s="582"/>
      <c r="F552" s="582"/>
      <c r="G552" s="597"/>
      <c r="H552" s="597"/>
      <c r="I552" s="596"/>
      <c r="J552" s="596"/>
      <c r="K552" s="621"/>
      <c r="L552" s="596"/>
      <c r="M552" s="596"/>
      <c r="N552" s="597"/>
      <c r="O552" s="597"/>
      <c r="P552" s="596"/>
      <c r="Q552" s="596"/>
      <c r="R552" s="596"/>
      <c r="S552" s="596"/>
      <c r="T552" s="593"/>
      <c r="U552" s="596"/>
      <c r="V552" s="596">
        <v>0</v>
      </c>
      <c r="W552" s="596">
        <v>0</v>
      </c>
      <c r="X552" s="596">
        <v>0</v>
      </c>
      <c r="Y552" s="596">
        <v>0</v>
      </c>
      <c r="Z552" s="596">
        <f t="shared" si="154"/>
        <v>0</v>
      </c>
      <c r="AA552" s="580">
        <f t="shared" si="154"/>
        <v>0</v>
      </c>
      <c r="AB552" s="596">
        <f t="shared" si="154"/>
        <v>0</v>
      </c>
      <c r="AC552" s="596">
        <f t="shared" si="154"/>
        <v>0</v>
      </c>
      <c r="AD552" s="596">
        <f t="shared" si="154"/>
        <v>0</v>
      </c>
      <c r="AE552" s="596">
        <f t="shared" si="154"/>
        <v>0</v>
      </c>
      <c r="AF552" s="838"/>
      <c r="AG552" s="822"/>
      <c r="AH552" s="822"/>
      <c r="AI552" s="822"/>
      <c r="AJ552" s="822"/>
      <c r="AK552" s="806"/>
      <c r="AL552" s="806"/>
      <c r="AM552" s="806"/>
      <c r="AN552" s="806"/>
      <c r="AO552" s="806"/>
      <c r="AP552" s="806"/>
      <c r="AQ552" s="806"/>
      <c r="AR552" s="806"/>
      <c r="AS552" s="806"/>
      <c r="AT552" s="806"/>
      <c r="AU552" s="806"/>
      <c r="AV552" s="806"/>
      <c r="AW552" s="806"/>
      <c r="AX552" s="806"/>
      <c r="AY552" s="806"/>
    </row>
    <row r="553" spans="1:51" ht="28.9" customHeight="1" x14ac:dyDescent="0.25">
      <c r="A553" s="828"/>
      <c r="B553" s="822"/>
      <c r="C553" s="838"/>
      <c r="D553" s="578" t="s">
        <v>352</v>
      </c>
      <c r="E553" s="582"/>
      <c r="F553" s="582"/>
      <c r="G553" s="597"/>
      <c r="H553" s="597"/>
      <c r="I553" s="596">
        <v>1101298.057142857</v>
      </c>
      <c r="J553" s="596">
        <v>4072938.2</v>
      </c>
      <c r="K553" s="596">
        <v>4072938.2</v>
      </c>
      <c r="L553" s="596">
        <v>4072938.2</v>
      </c>
      <c r="M553" s="596">
        <v>1861361.8181818181</v>
      </c>
      <c r="N553" s="597">
        <v>1861361.8181818181</v>
      </c>
      <c r="O553" s="597">
        <v>1861361.8181818181</v>
      </c>
      <c r="P553" s="596">
        <v>1750474.2307692308</v>
      </c>
      <c r="Q553" s="596">
        <v>1750474.2307692308</v>
      </c>
      <c r="R553" s="596">
        <v>1750474.2307692308</v>
      </c>
      <c r="S553" s="596"/>
      <c r="T553" s="593"/>
      <c r="U553" s="596"/>
      <c r="V553" s="596">
        <v>1101298.057142857</v>
      </c>
      <c r="W553" s="596">
        <v>4072938.2</v>
      </c>
      <c r="X553" s="596">
        <v>4072938.2</v>
      </c>
      <c r="Y553" s="596">
        <v>4072938.2</v>
      </c>
      <c r="Z553" s="596">
        <f t="shared" si="154"/>
        <v>1861361.8181818181</v>
      </c>
      <c r="AA553" s="580">
        <f t="shared" si="154"/>
        <v>1861361.8181818181</v>
      </c>
      <c r="AB553" s="596">
        <f t="shared" si="154"/>
        <v>1861361.8181818181</v>
      </c>
      <c r="AC553" s="596">
        <f t="shared" si="154"/>
        <v>1750474.2307692308</v>
      </c>
      <c r="AD553" s="596">
        <f t="shared" si="154"/>
        <v>1750474.2307692308</v>
      </c>
      <c r="AE553" s="596">
        <f t="shared" si="154"/>
        <v>1750474.2307692308</v>
      </c>
      <c r="AF553" s="838"/>
      <c r="AG553" s="822"/>
      <c r="AH553" s="822"/>
      <c r="AI553" s="822"/>
      <c r="AJ553" s="822"/>
      <c r="AK553" s="806"/>
      <c r="AL553" s="806"/>
      <c r="AM553" s="806"/>
      <c r="AN553" s="806"/>
      <c r="AO553" s="806"/>
      <c r="AP553" s="806"/>
      <c r="AQ553" s="806"/>
      <c r="AR553" s="806"/>
      <c r="AS553" s="806"/>
      <c r="AT553" s="806"/>
      <c r="AU553" s="806"/>
      <c r="AV553" s="806"/>
      <c r="AW553" s="806"/>
      <c r="AX553" s="806"/>
      <c r="AY553" s="806"/>
    </row>
    <row r="554" spans="1:51" ht="28.9" customHeight="1" x14ac:dyDescent="0.25">
      <c r="A554" s="828"/>
      <c r="B554" s="822"/>
      <c r="C554" s="838"/>
      <c r="D554" s="579" t="s">
        <v>353</v>
      </c>
      <c r="E554" s="582"/>
      <c r="F554" s="582"/>
      <c r="G554" s="597"/>
      <c r="H554" s="597"/>
      <c r="I554" s="596">
        <v>1</v>
      </c>
      <c r="J554" s="596">
        <v>1</v>
      </c>
      <c r="K554" s="621">
        <v>1</v>
      </c>
      <c r="L554" s="596">
        <v>1</v>
      </c>
      <c r="M554" s="596">
        <v>1</v>
      </c>
      <c r="N554" s="597">
        <v>1</v>
      </c>
      <c r="O554" s="597">
        <v>1</v>
      </c>
      <c r="P554" s="596">
        <v>1</v>
      </c>
      <c r="Q554" s="596">
        <v>1</v>
      </c>
      <c r="R554" s="596">
        <v>1</v>
      </c>
      <c r="S554" s="596"/>
      <c r="T554" s="593"/>
      <c r="U554" s="596"/>
      <c r="V554" s="596">
        <v>1</v>
      </c>
      <c r="W554" s="596">
        <v>1</v>
      </c>
      <c r="X554" s="596">
        <v>1</v>
      </c>
      <c r="Y554" s="596">
        <v>1</v>
      </c>
      <c r="Z554" s="596">
        <f t="shared" ref="Z554:AE561" si="159">+M554</f>
        <v>1</v>
      </c>
      <c r="AA554" s="580">
        <f t="shared" si="159"/>
        <v>1</v>
      </c>
      <c r="AB554" s="596">
        <f t="shared" si="159"/>
        <v>1</v>
      </c>
      <c r="AC554" s="596">
        <f t="shared" si="159"/>
        <v>1</v>
      </c>
      <c r="AD554" s="596">
        <f t="shared" si="159"/>
        <v>1</v>
      </c>
      <c r="AE554" s="596">
        <f t="shared" si="159"/>
        <v>1</v>
      </c>
      <c r="AF554" s="838"/>
      <c r="AG554" s="822"/>
      <c r="AH554" s="822"/>
      <c r="AI554" s="822"/>
      <c r="AJ554" s="822"/>
      <c r="AK554" s="806"/>
      <c r="AL554" s="806"/>
      <c r="AM554" s="806"/>
      <c r="AN554" s="806"/>
      <c r="AO554" s="806"/>
      <c r="AP554" s="806"/>
      <c r="AQ554" s="806"/>
      <c r="AR554" s="806"/>
      <c r="AS554" s="806"/>
      <c r="AT554" s="806"/>
      <c r="AU554" s="806"/>
      <c r="AV554" s="806"/>
      <c r="AW554" s="806"/>
      <c r="AX554" s="806"/>
      <c r="AY554" s="806"/>
    </row>
    <row r="555" spans="1:51" ht="28.9" customHeight="1" x14ac:dyDescent="0.25">
      <c r="A555" s="828"/>
      <c r="B555" s="822"/>
      <c r="C555" s="839"/>
      <c r="D555" s="578" t="s">
        <v>354</v>
      </c>
      <c r="E555" s="582"/>
      <c r="F555" s="582"/>
      <c r="G555" s="597"/>
      <c r="H555" s="583"/>
      <c r="I555" s="575">
        <v>20656631.39047619</v>
      </c>
      <c r="J555" s="575">
        <v>35820238.200000003</v>
      </c>
      <c r="K555" s="596">
        <v>26749581.057142857</v>
      </c>
      <c r="L555" s="575">
        <v>22747820.552941177</v>
      </c>
      <c r="M555" s="596">
        <f t="shared" ref="M555:R555" si="160">+M551+M553</f>
        <v>17735011.818181816</v>
      </c>
      <c r="N555" s="597">
        <f t="shared" si="160"/>
        <v>14071861.818181818</v>
      </c>
      <c r="O555" s="597">
        <f t="shared" si="160"/>
        <v>14071861.818181818</v>
      </c>
      <c r="P555" s="596">
        <f t="shared" si="160"/>
        <v>12697819.058355438</v>
      </c>
      <c r="Q555" s="596">
        <f t="shared" si="160"/>
        <v>11671505.48076923</v>
      </c>
      <c r="R555" s="596">
        <f t="shared" si="160"/>
        <v>11660644.819004524</v>
      </c>
      <c r="S555" s="596"/>
      <c r="T555" s="593"/>
      <c r="U555" s="575"/>
      <c r="V555" s="596">
        <v>20656631.39047619</v>
      </c>
      <c r="W555" s="596">
        <v>35820238.200000003</v>
      </c>
      <c r="X555" s="596">
        <v>26749581.057142857</v>
      </c>
      <c r="Y555" s="596">
        <v>22747820.552941177</v>
      </c>
      <c r="Z555" s="596">
        <f t="shared" si="159"/>
        <v>17735011.818181816</v>
      </c>
      <c r="AA555" s="580">
        <f t="shared" si="159"/>
        <v>14071861.818181818</v>
      </c>
      <c r="AB555" s="596">
        <f t="shared" si="159"/>
        <v>14071861.818181818</v>
      </c>
      <c r="AC555" s="596">
        <f t="shared" si="159"/>
        <v>12697819.058355438</v>
      </c>
      <c r="AD555" s="596">
        <f t="shared" si="159"/>
        <v>11671505.48076923</v>
      </c>
      <c r="AE555" s="596">
        <f t="shared" si="159"/>
        <v>11660644.819004524</v>
      </c>
      <c r="AF555" s="839"/>
      <c r="AG555" s="823"/>
      <c r="AH555" s="823"/>
      <c r="AI555" s="823"/>
      <c r="AJ555" s="823"/>
      <c r="AK555" s="807"/>
      <c r="AL555" s="807"/>
      <c r="AM555" s="807"/>
      <c r="AN555" s="807"/>
      <c r="AO555" s="807"/>
      <c r="AP555" s="807"/>
      <c r="AQ555" s="807"/>
      <c r="AR555" s="807"/>
      <c r="AS555" s="807"/>
      <c r="AT555" s="807"/>
      <c r="AU555" s="807"/>
      <c r="AV555" s="807"/>
      <c r="AW555" s="807"/>
      <c r="AX555" s="807"/>
      <c r="AY555" s="807"/>
    </row>
    <row r="556" spans="1:51" ht="19.149999999999999" customHeight="1" x14ac:dyDescent="0.25">
      <c r="A556" s="828"/>
      <c r="B556" s="822"/>
      <c r="C556" s="837" t="s">
        <v>535</v>
      </c>
      <c r="D556" s="572" t="s">
        <v>345</v>
      </c>
      <c r="E556" s="609"/>
      <c r="F556" s="609"/>
      <c r="G556" s="624"/>
      <c r="H556" s="625"/>
      <c r="I556" s="619"/>
      <c r="J556" s="619"/>
      <c r="K556" s="621"/>
      <c r="L556" s="619"/>
      <c r="M556" s="621"/>
      <c r="N556" s="621"/>
      <c r="O556" s="621">
        <v>2</v>
      </c>
      <c r="P556" s="621">
        <v>2</v>
      </c>
      <c r="Q556" s="621">
        <v>2</v>
      </c>
      <c r="R556" s="621">
        <v>2</v>
      </c>
      <c r="S556" s="621"/>
      <c r="T556" s="626"/>
      <c r="U556" s="619"/>
      <c r="V556" s="621"/>
      <c r="W556" s="621"/>
      <c r="X556" s="596"/>
      <c r="Y556" s="596"/>
      <c r="Z556" s="596"/>
      <c r="AA556" s="580"/>
      <c r="AB556" s="596">
        <f t="shared" si="159"/>
        <v>2</v>
      </c>
      <c r="AC556" s="596">
        <f t="shared" si="159"/>
        <v>2</v>
      </c>
      <c r="AD556" s="596">
        <f t="shared" si="159"/>
        <v>2</v>
      </c>
      <c r="AE556" s="621">
        <f t="shared" si="159"/>
        <v>2</v>
      </c>
      <c r="AF556" s="852" t="s">
        <v>850</v>
      </c>
      <c r="AG556" s="849" t="s">
        <v>851</v>
      </c>
      <c r="AH556" s="849">
        <v>42</v>
      </c>
      <c r="AI556" s="849" t="s">
        <v>852</v>
      </c>
      <c r="AJ556" s="849" t="s">
        <v>853</v>
      </c>
      <c r="AK556" s="851" t="s">
        <v>490</v>
      </c>
      <c r="AL556" s="851" t="s">
        <v>765</v>
      </c>
      <c r="AM556" s="851" t="s">
        <v>752</v>
      </c>
      <c r="AN556" s="851">
        <v>182943</v>
      </c>
      <c r="AO556" s="851">
        <v>90946</v>
      </c>
      <c r="AP556" s="851">
        <v>91997</v>
      </c>
      <c r="AQ556" s="860" t="s">
        <v>492</v>
      </c>
      <c r="AR556" s="860" t="s">
        <v>492</v>
      </c>
      <c r="AS556" s="860" t="s">
        <v>492</v>
      </c>
      <c r="AT556" s="860" t="s">
        <v>492</v>
      </c>
      <c r="AU556" s="860" t="s">
        <v>492</v>
      </c>
      <c r="AV556" s="860" t="s">
        <v>492</v>
      </c>
      <c r="AW556" s="860" t="s">
        <v>492</v>
      </c>
      <c r="AX556" s="851">
        <v>182943</v>
      </c>
      <c r="AY556" s="851" t="s">
        <v>837</v>
      </c>
    </row>
    <row r="557" spans="1:51" ht="19.149999999999999" customHeight="1" x14ac:dyDescent="0.25">
      <c r="A557" s="828"/>
      <c r="B557" s="822"/>
      <c r="C557" s="838"/>
      <c r="D557" s="578" t="s">
        <v>349</v>
      </c>
      <c r="E557" s="609"/>
      <c r="F557" s="609"/>
      <c r="G557" s="624"/>
      <c r="H557" s="625"/>
      <c r="I557" s="619"/>
      <c r="J557" s="619"/>
      <c r="K557" s="621"/>
      <c r="L557" s="619"/>
      <c r="M557" s="621"/>
      <c r="N557" s="621"/>
      <c r="O557" s="580">
        <f>+O556*$AB$533/$AB$532</f>
        <v>24421000</v>
      </c>
      <c r="P557" s="580">
        <f>+P556*$AC$533/$AC$532</f>
        <v>21894689.655172415</v>
      </c>
      <c r="Q557" s="580">
        <f>+Q556*$AD$533/$AD$532</f>
        <v>19842062.5</v>
      </c>
      <c r="R557" s="580">
        <f>+R556*$AE$533/$AE$532</f>
        <v>19820341.176470589</v>
      </c>
      <c r="S557" s="580"/>
      <c r="T557" s="626"/>
      <c r="U557" s="619"/>
      <c r="V557" s="621"/>
      <c r="W557" s="621"/>
      <c r="X557" s="596"/>
      <c r="Y557" s="596"/>
      <c r="Z557" s="596"/>
      <c r="AA557" s="580"/>
      <c r="AB557" s="596">
        <f t="shared" si="159"/>
        <v>24421000</v>
      </c>
      <c r="AC557" s="596">
        <f t="shared" si="159"/>
        <v>21894689.655172415</v>
      </c>
      <c r="AD557" s="596">
        <f t="shared" si="159"/>
        <v>19842062.5</v>
      </c>
      <c r="AE557" s="580">
        <f t="shared" si="159"/>
        <v>19820341.176470589</v>
      </c>
      <c r="AF557" s="838"/>
      <c r="AG557" s="822"/>
      <c r="AH557" s="822"/>
      <c r="AI557" s="822"/>
      <c r="AJ557" s="822"/>
      <c r="AK557" s="806"/>
      <c r="AL557" s="806"/>
      <c r="AM557" s="806"/>
      <c r="AN557" s="806"/>
      <c r="AO557" s="806"/>
      <c r="AP557" s="806"/>
      <c r="AQ557" s="806"/>
      <c r="AR557" s="806"/>
      <c r="AS557" s="806"/>
      <c r="AT557" s="806"/>
      <c r="AU557" s="806"/>
      <c r="AV557" s="806"/>
      <c r="AW557" s="806"/>
      <c r="AX557" s="806"/>
      <c r="AY557" s="806"/>
    </row>
    <row r="558" spans="1:51" ht="28.9" customHeight="1" x14ac:dyDescent="0.25">
      <c r="A558" s="828"/>
      <c r="B558" s="822"/>
      <c r="C558" s="838"/>
      <c r="D558" s="579" t="s">
        <v>351</v>
      </c>
      <c r="E558" s="609"/>
      <c r="F558" s="609"/>
      <c r="G558" s="624"/>
      <c r="H558" s="625"/>
      <c r="I558" s="619"/>
      <c r="J558" s="619"/>
      <c r="K558" s="621"/>
      <c r="L558" s="619"/>
      <c r="M558" s="621"/>
      <c r="N558" s="621"/>
      <c r="O558" s="621"/>
      <c r="P558" s="621"/>
      <c r="Q558" s="621"/>
      <c r="R558" s="621"/>
      <c r="S558" s="621"/>
      <c r="T558" s="626"/>
      <c r="U558" s="619"/>
      <c r="V558" s="621"/>
      <c r="W558" s="621"/>
      <c r="X558" s="596"/>
      <c r="Y558" s="596"/>
      <c r="Z558" s="596"/>
      <c r="AA558" s="580"/>
      <c r="AB558" s="596">
        <f t="shared" si="159"/>
        <v>0</v>
      </c>
      <c r="AC558" s="596">
        <f t="shared" si="159"/>
        <v>0</v>
      </c>
      <c r="AD558" s="596">
        <f t="shared" si="159"/>
        <v>0</v>
      </c>
      <c r="AE558" s="621">
        <f t="shared" si="159"/>
        <v>0</v>
      </c>
      <c r="AF558" s="838"/>
      <c r="AG558" s="822"/>
      <c r="AH558" s="822"/>
      <c r="AI558" s="822"/>
      <c r="AJ558" s="822"/>
      <c r="AK558" s="806"/>
      <c r="AL558" s="806"/>
      <c r="AM558" s="806"/>
      <c r="AN558" s="806"/>
      <c r="AO558" s="806"/>
      <c r="AP558" s="806"/>
      <c r="AQ558" s="806"/>
      <c r="AR558" s="806"/>
      <c r="AS558" s="806"/>
      <c r="AT558" s="806"/>
      <c r="AU558" s="806"/>
      <c r="AV558" s="806"/>
      <c r="AW558" s="806"/>
      <c r="AX558" s="806"/>
      <c r="AY558" s="806"/>
    </row>
    <row r="559" spans="1:51" ht="28.9" customHeight="1" x14ac:dyDescent="0.25">
      <c r="A559" s="828"/>
      <c r="B559" s="822"/>
      <c r="C559" s="838"/>
      <c r="D559" s="578" t="s">
        <v>352</v>
      </c>
      <c r="E559" s="609"/>
      <c r="F559" s="609"/>
      <c r="G559" s="624"/>
      <c r="H559" s="625"/>
      <c r="I559" s="619"/>
      <c r="J559" s="619"/>
      <c r="K559" s="621"/>
      <c r="L559" s="619"/>
      <c r="M559" s="621"/>
      <c r="N559" s="621"/>
      <c r="O559" s="621"/>
      <c r="P559" s="621">
        <v>1750474.2307692308</v>
      </c>
      <c r="Q559" s="621">
        <v>1750474.2307692308</v>
      </c>
      <c r="R559" s="621">
        <v>1750474.2307692308</v>
      </c>
      <c r="S559" s="621"/>
      <c r="T559" s="626"/>
      <c r="U559" s="619"/>
      <c r="V559" s="621"/>
      <c r="W559" s="621"/>
      <c r="X559" s="596"/>
      <c r="Y559" s="596"/>
      <c r="Z559" s="596"/>
      <c r="AA559" s="580"/>
      <c r="AB559" s="596">
        <f t="shared" si="159"/>
        <v>0</v>
      </c>
      <c r="AC559" s="596">
        <f t="shared" si="159"/>
        <v>1750474.2307692308</v>
      </c>
      <c r="AD559" s="596">
        <f t="shared" si="159"/>
        <v>1750474.2307692308</v>
      </c>
      <c r="AE559" s="621">
        <f t="shared" si="159"/>
        <v>1750474.2307692308</v>
      </c>
      <c r="AF559" s="838"/>
      <c r="AG559" s="822"/>
      <c r="AH559" s="822"/>
      <c r="AI559" s="822"/>
      <c r="AJ559" s="822"/>
      <c r="AK559" s="806"/>
      <c r="AL559" s="806"/>
      <c r="AM559" s="806"/>
      <c r="AN559" s="806"/>
      <c r="AO559" s="806"/>
      <c r="AP559" s="806"/>
      <c r="AQ559" s="806"/>
      <c r="AR559" s="806"/>
      <c r="AS559" s="806"/>
      <c r="AT559" s="806"/>
      <c r="AU559" s="806"/>
      <c r="AV559" s="806"/>
      <c r="AW559" s="806"/>
      <c r="AX559" s="806"/>
      <c r="AY559" s="806"/>
    </row>
    <row r="560" spans="1:51" ht="28.9" customHeight="1" x14ac:dyDescent="0.25">
      <c r="A560" s="828"/>
      <c r="B560" s="822"/>
      <c r="C560" s="838"/>
      <c r="D560" s="579" t="s">
        <v>353</v>
      </c>
      <c r="E560" s="609"/>
      <c r="F560" s="609"/>
      <c r="G560" s="624"/>
      <c r="H560" s="625"/>
      <c r="I560" s="619"/>
      <c r="J560" s="619"/>
      <c r="K560" s="621"/>
      <c r="L560" s="619"/>
      <c r="M560" s="621"/>
      <c r="N560" s="621"/>
      <c r="O560" s="621">
        <v>2</v>
      </c>
      <c r="P560" s="621">
        <v>2</v>
      </c>
      <c r="Q560" s="621">
        <v>2</v>
      </c>
      <c r="R560" s="621">
        <v>2</v>
      </c>
      <c r="S560" s="621"/>
      <c r="T560" s="626"/>
      <c r="U560" s="619"/>
      <c r="V560" s="621"/>
      <c r="W560" s="621"/>
      <c r="X560" s="596"/>
      <c r="Y560" s="596"/>
      <c r="Z560" s="596"/>
      <c r="AA560" s="580"/>
      <c r="AB560" s="596">
        <f t="shared" si="159"/>
        <v>2</v>
      </c>
      <c r="AC560" s="596">
        <f t="shared" si="159"/>
        <v>2</v>
      </c>
      <c r="AD560" s="596">
        <f t="shared" si="159"/>
        <v>2</v>
      </c>
      <c r="AE560" s="621">
        <f t="shared" si="159"/>
        <v>2</v>
      </c>
      <c r="AF560" s="838"/>
      <c r="AG560" s="822"/>
      <c r="AH560" s="822"/>
      <c r="AI560" s="822"/>
      <c r="AJ560" s="822"/>
      <c r="AK560" s="806"/>
      <c r="AL560" s="806"/>
      <c r="AM560" s="806"/>
      <c r="AN560" s="806"/>
      <c r="AO560" s="806"/>
      <c r="AP560" s="806"/>
      <c r="AQ560" s="806"/>
      <c r="AR560" s="806"/>
      <c r="AS560" s="806"/>
      <c r="AT560" s="806"/>
      <c r="AU560" s="806"/>
      <c r="AV560" s="806"/>
      <c r="AW560" s="806"/>
      <c r="AX560" s="806"/>
      <c r="AY560" s="806"/>
    </row>
    <row r="561" spans="1:51" ht="28.9" customHeight="1" x14ac:dyDescent="0.25">
      <c r="A561" s="828"/>
      <c r="B561" s="822"/>
      <c r="C561" s="839"/>
      <c r="D561" s="578" t="s">
        <v>354</v>
      </c>
      <c r="E561" s="609"/>
      <c r="F561" s="609"/>
      <c r="G561" s="624"/>
      <c r="H561" s="625"/>
      <c r="I561" s="619"/>
      <c r="J561" s="619"/>
      <c r="K561" s="621"/>
      <c r="L561" s="619"/>
      <c r="M561" s="621"/>
      <c r="N561" s="621"/>
      <c r="O561" s="596">
        <f t="shared" ref="O561:R561" si="161">+O557+O559</f>
        <v>24421000</v>
      </c>
      <c r="P561" s="596">
        <f t="shared" si="161"/>
        <v>23645163.885941647</v>
      </c>
      <c r="Q561" s="596">
        <f t="shared" si="161"/>
        <v>21592536.730769232</v>
      </c>
      <c r="R561" s="596">
        <f t="shared" si="161"/>
        <v>21570815.407239821</v>
      </c>
      <c r="S561" s="596"/>
      <c r="T561" s="626"/>
      <c r="U561" s="619"/>
      <c r="V561" s="621"/>
      <c r="W561" s="621"/>
      <c r="X561" s="596"/>
      <c r="Y561" s="596"/>
      <c r="Z561" s="596"/>
      <c r="AA561" s="580"/>
      <c r="AB561" s="596">
        <f t="shared" si="159"/>
        <v>24421000</v>
      </c>
      <c r="AC561" s="596">
        <f t="shared" si="159"/>
        <v>23645163.885941647</v>
      </c>
      <c r="AD561" s="596">
        <f t="shared" si="159"/>
        <v>21592536.730769232</v>
      </c>
      <c r="AE561" s="596">
        <f t="shared" si="159"/>
        <v>21570815.407239821</v>
      </c>
      <c r="AF561" s="839"/>
      <c r="AG561" s="823"/>
      <c r="AH561" s="823"/>
      <c r="AI561" s="823"/>
      <c r="AJ561" s="823"/>
      <c r="AK561" s="807"/>
      <c r="AL561" s="807"/>
      <c r="AM561" s="807"/>
      <c r="AN561" s="807"/>
      <c r="AO561" s="807"/>
      <c r="AP561" s="807"/>
      <c r="AQ561" s="807"/>
      <c r="AR561" s="807"/>
      <c r="AS561" s="807"/>
      <c r="AT561" s="807"/>
      <c r="AU561" s="807"/>
      <c r="AV561" s="807"/>
      <c r="AW561" s="807"/>
      <c r="AX561" s="807"/>
      <c r="AY561" s="807"/>
    </row>
    <row r="562" spans="1:51" ht="19.149999999999999" customHeight="1" x14ac:dyDescent="0.25">
      <c r="A562" s="828"/>
      <c r="B562" s="822"/>
      <c r="C562" s="837" t="s">
        <v>542</v>
      </c>
      <c r="D562" s="572" t="s">
        <v>345</v>
      </c>
      <c r="E562" s="627"/>
      <c r="F562" s="609"/>
      <c r="G562" s="624"/>
      <c r="H562" s="624"/>
      <c r="I562" s="619"/>
      <c r="J562" s="619"/>
      <c r="K562" s="621">
        <v>1</v>
      </c>
      <c r="L562" s="621">
        <v>1</v>
      </c>
      <c r="M562" s="621">
        <v>1</v>
      </c>
      <c r="N562" s="621">
        <v>1</v>
      </c>
      <c r="O562" s="621">
        <v>1</v>
      </c>
      <c r="P562" s="621">
        <v>1</v>
      </c>
      <c r="Q562" s="621">
        <v>1</v>
      </c>
      <c r="R562" s="621">
        <v>1</v>
      </c>
      <c r="S562" s="621"/>
      <c r="T562" s="621"/>
      <c r="U562" s="621"/>
      <c r="V562" s="619"/>
      <c r="W562" s="621"/>
      <c r="X562" s="596">
        <v>1</v>
      </c>
      <c r="Y562" s="596">
        <v>1</v>
      </c>
      <c r="Z562" s="596">
        <f t="shared" ref="Z562:AE577" si="162">+M562</f>
        <v>1</v>
      </c>
      <c r="AA562" s="580">
        <f t="shared" si="162"/>
        <v>1</v>
      </c>
      <c r="AB562" s="596">
        <f t="shared" si="162"/>
        <v>1</v>
      </c>
      <c r="AC562" s="596">
        <f t="shared" si="162"/>
        <v>1</v>
      </c>
      <c r="AD562" s="596">
        <f t="shared" si="162"/>
        <v>1</v>
      </c>
      <c r="AE562" s="621">
        <f t="shared" si="162"/>
        <v>1</v>
      </c>
      <c r="AF562" s="859" t="s">
        <v>854</v>
      </c>
      <c r="AG562" s="853" t="s">
        <v>855</v>
      </c>
      <c r="AH562" s="849">
        <v>84</v>
      </c>
      <c r="AI562" s="849" t="s">
        <v>856</v>
      </c>
      <c r="AJ562" s="849" t="s">
        <v>849</v>
      </c>
      <c r="AK562" s="850" t="s">
        <v>490</v>
      </c>
      <c r="AL562" s="851">
        <v>4</v>
      </c>
      <c r="AM562" s="851" t="s">
        <v>752</v>
      </c>
      <c r="AN562" s="851">
        <v>729781</v>
      </c>
      <c r="AO562" s="851">
        <v>351203</v>
      </c>
      <c r="AP562" s="851">
        <v>378578</v>
      </c>
      <c r="AQ562" s="845" t="s">
        <v>492</v>
      </c>
      <c r="AR562" s="845" t="s">
        <v>492</v>
      </c>
      <c r="AS562" s="845" t="s">
        <v>492</v>
      </c>
      <c r="AT562" s="845" t="s">
        <v>492</v>
      </c>
      <c r="AU562" s="845" t="s">
        <v>492</v>
      </c>
      <c r="AV562" s="845" t="s">
        <v>492</v>
      </c>
      <c r="AW562" s="845" t="s">
        <v>492</v>
      </c>
      <c r="AX562" s="854">
        <v>729781</v>
      </c>
      <c r="AY562" s="845" t="s">
        <v>837</v>
      </c>
    </row>
    <row r="563" spans="1:51" ht="19.149999999999999" customHeight="1" x14ac:dyDescent="0.25">
      <c r="A563" s="828"/>
      <c r="B563" s="822"/>
      <c r="C563" s="838"/>
      <c r="D563" s="578" t="s">
        <v>349</v>
      </c>
      <c r="E563" s="627"/>
      <c r="F563" s="609"/>
      <c r="G563" s="624"/>
      <c r="H563" s="624"/>
      <c r="I563" s="619"/>
      <c r="J563" s="619"/>
      <c r="K563" s="580">
        <v>22676642.857142858</v>
      </c>
      <c r="L563" s="580">
        <v>18674882.352941178</v>
      </c>
      <c r="M563" s="580">
        <f>+M562*$Z$533/$Z$532</f>
        <v>15873650</v>
      </c>
      <c r="N563" s="580">
        <f>+N562*$AA$533/$AA$532</f>
        <v>12210500</v>
      </c>
      <c r="O563" s="580">
        <f>+O562*$AB$533/$AB$532</f>
        <v>12210500</v>
      </c>
      <c r="P563" s="580">
        <f>+P562*$AC$533/$AC$532</f>
        <v>10947344.827586208</v>
      </c>
      <c r="Q563" s="580">
        <f>+Q562*$AD$533/$AD$532</f>
        <v>9921031.25</v>
      </c>
      <c r="R563" s="580">
        <f>+R562*$AE$533/$AE$532</f>
        <v>9910170.5882352944</v>
      </c>
      <c r="S563" s="580"/>
      <c r="T563" s="621"/>
      <c r="U563" s="621"/>
      <c r="V563" s="619"/>
      <c r="W563" s="621"/>
      <c r="X563" s="596">
        <v>22676642.857142858</v>
      </c>
      <c r="Y563" s="596">
        <v>18674882.352941178</v>
      </c>
      <c r="Z563" s="596">
        <f t="shared" si="162"/>
        <v>15873650</v>
      </c>
      <c r="AA563" s="580">
        <f t="shared" si="162"/>
        <v>12210500</v>
      </c>
      <c r="AB563" s="596">
        <f t="shared" si="162"/>
        <v>12210500</v>
      </c>
      <c r="AC563" s="596">
        <f t="shared" si="162"/>
        <v>10947344.827586208</v>
      </c>
      <c r="AD563" s="596">
        <f t="shared" si="162"/>
        <v>9921031.25</v>
      </c>
      <c r="AE563" s="580">
        <f t="shared" si="162"/>
        <v>9910170.5882352944</v>
      </c>
      <c r="AF563" s="822"/>
      <c r="AG563" s="828"/>
      <c r="AH563" s="822"/>
      <c r="AI563" s="822"/>
      <c r="AJ563" s="822"/>
      <c r="AK563" s="806"/>
      <c r="AL563" s="806"/>
      <c r="AM563" s="806"/>
      <c r="AN563" s="806"/>
      <c r="AO563" s="806"/>
      <c r="AP563" s="806"/>
      <c r="AQ563" s="806"/>
      <c r="AR563" s="806"/>
      <c r="AS563" s="806"/>
      <c r="AT563" s="806"/>
      <c r="AU563" s="806"/>
      <c r="AV563" s="806"/>
      <c r="AW563" s="806"/>
      <c r="AX563" s="806"/>
      <c r="AY563" s="806"/>
    </row>
    <row r="564" spans="1:51" ht="28.9" customHeight="1" x14ac:dyDescent="0.25">
      <c r="A564" s="828"/>
      <c r="B564" s="822"/>
      <c r="C564" s="838"/>
      <c r="D564" s="579" t="s">
        <v>351</v>
      </c>
      <c r="E564" s="627"/>
      <c r="F564" s="609"/>
      <c r="G564" s="624"/>
      <c r="H564" s="624"/>
      <c r="I564" s="619"/>
      <c r="J564" s="619"/>
      <c r="K564" s="621"/>
      <c r="L564" s="621"/>
      <c r="M564" s="621"/>
      <c r="N564" s="621"/>
      <c r="O564" s="621"/>
      <c r="P564" s="621"/>
      <c r="Q564" s="621"/>
      <c r="R564" s="621"/>
      <c r="S564" s="621"/>
      <c r="T564" s="621"/>
      <c r="U564" s="621"/>
      <c r="V564" s="619"/>
      <c r="W564" s="621"/>
      <c r="X564" s="596">
        <v>0</v>
      </c>
      <c r="Y564" s="596">
        <v>0</v>
      </c>
      <c r="Z564" s="596">
        <f t="shared" si="162"/>
        <v>0</v>
      </c>
      <c r="AA564" s="580">
        <f t="shared" si="162"/>
        <v>0</v>
      </c>
      <c r="AB564" s="596">
        <f t="shared" si="162"/>
        <v>0</v>
      </c>
      <c r="AC564" s="596">
        <f t="shared" si="162"/>
        <v>0</v>
      </c>
      <c r="AD564" s="596">
        <f t="shared" si="162"/>
        <v>0</v>
      </c>
      <c r="AE564" s="621">
        <f t="shared" si="162"/>
        <v>0</v>
      </c>
      <c r="AF564" s="822"/>
      <c r="AG564" s="828"/>
      <c r="AH564" s="822"/>
      <c r="AI564" s="822"/>
      <c r="AJ564" s="822"/>
      <c r="AK564" s="806"/>
      <c r="AL564" s="806"/>
      <c r="AM564" s="806"/>
      <c r="AN564" s="806"/>
      <c r="AO564" s="806"/>
      <c r="AP564" s="806"/>
      <c r="AQ564" s="806"/>
      <c r="AR564" s="806"/>
      <c r="AS564" s="806"/>
      <c r="AT564" s="806"/>
      <c r="AU564" s="806"/>
      <c r="AV564" s="806"/>
      <c r="AW564" s="806"/>
      <c r="AX564" s="806"/>
      <c r="AY564" s="806"/>
    </row>
    <row r="565" spans="1:51" ht="28.9" customHeight="1" x14ac:dyDescent="0.25">
      <c r="A565" s="828"/>
      <c r="B565" s="822"/>
      <c r="C565" s="838"/>
      <c r="D565" s="578" t="s">
        <v>352</v>
      </c>
      <c r="E565" s="627"/>
      <c r="F565" s="609"/>
      <c r="G565" s="624"/>
      <c r="H565" s="624"/>
      <c r="I565" s="619"/>
      <c r="J565" s="619"/>
      <c r="K565" s="621"/>
      <c r="L565" s="621"/>
      <c r="M565" s="596">
        <v>1861361.8181818181</v>
      </c>
      <c r="N565" s="596">
        <v>1861361.8181818181</v>
      </c>
      <c r="O565" s="596">
        <v>1861361.8181818181</v>
      </c>
      <c r="P565" s="621">
        <v>1750474.2307692308</v>
      </c>
      <c r="Q565" s="621">
        <v>1750474.2307692308</v>
      </c>
      <c r="R565" s="621">
        <v>1750474.2307692308</v>
      </c>
      <c r="S565" s="621"/>
      <c r="T565" s="621"/>
      <c r="U565" s="621"/>
      <c r="V565" s="619"/>
      <c r="W565" s="621"/>
      <c r="X565" s="596">
        <v>0</v>
      </c>
      <c r="Y565" s="596">
        <v>0</v>
      </c>
      <c r="Z565" s="596">
        <f t="shared" si="162"/>
        <v>1861361.8181818181</v>
      </c>
      <c r="AA565" s="580">
        <f t="shared" si="162"/>
        <v>1861361.8181818181</v>
      </c>
      <c r="AB565" s="596">
        <f t="shared" si="162"/>
        <v>1861361.8181818181</v>
      </c>
      <c r="AC565" s="596">
        <f t="shared" si="162"/>
        <v>1750474.2307692308</v>
      </c>
      <c r="AD565" s="596">
        <f t="shared" si="162"/>
        <v>1750474.2307692308</v>
      </c>
      <c r="AE565" s="621">
        <f t="shared" si="162"/>
        <v>1750474.2307692308</v>
      </c>
      <c r="AF565" s="822"/>
      <c r="AG565" s="828"/>
      <c r="AH565" s="822"/>
      <c r="AI565" s="822"/>
      <c r="AJ565" s="822"/>
      <c r="AK565" s="806"/>
      <c r="AL565" s="806"/>
      <c r="AM565" s="806"/>
      <c r="AN565" s="806"/>
      <c r="AO565" s="806"/>
      <c r="AP565" s="806"/>
      <c r="AQ565" s="806"/>
      <c r="AR565" s="806"/>
      <c r="AS565" s="806"/>
      <c r="AT565" s="806"/>
      <c r="AU565" s="806"/>
      <c r="AV565" s="806"/>
      <c r="AW565" s="806"/>
      <c r="AX565" s="806"/>
      <c r="AY565" s="806"/>
    </row>
    <row r="566" spans="1:51" ht="28.9" customHeight="1" x14ac:dyDescent="0.25">
      <c r="A566" s="828"/>
      <c r="B566" s="822"/>
      <c r="C566" s="838"/>
      <c r="D566" s="579" t="s">
        <v>353</v>
      </c>
      <c r="E566" s="627"/>
      <c r="F566" s="609"/>
      <c r="G566" s="624"/>
      <c r="H566" s="624"/>
      <c r="I566" s="619"/>
      <c r="J566" s="619"/>
      <c r="K566" s="621">
        <v>1</v>
      </c>
      <c r="L566" s="621">
        <v>1</v>
      </c>
      <c r="M566" s="621">
        <v>1</v>
      </c>
      <c r="N566" s="621">
        <v>1</v>
      </c>
      <c r="O566" s="621">
        <v>1</v>
      </c>
      <c r="P566" s="621">
        <v>1</v>
      </c>
      <c r="Q566" s="621">
        <v>1</v>
      </c>
      <c r="R566" s="621">
        <v>1</v>
      </c>
      <c r="S566" s="621"/>
      <c r="T566" s="621"/>
      <c r="U566" s="621"/>
      <c r="V566" s="619"/>
      <c r="W566" s="621"/>
      <c r="X566" s="596">
        <v>1</v>
      </c>
      <c r="Y566" s="596">
        <v>1</v>
      </c>
      <c r="Z566" s="596">
        <f t="shared" si="162"/>
        <v>1</v>
      </c>
      <c r="AA566" s="580">
        <f t="shared" si="162"/>
        <v>1</v>
      </c>
      <c r="AB566" s="596">
        <f t="shared" si="162"/>
        <v>1</v>
      </c>
      <c r="AC566" s="596">
        <f t="shared" si="162"/>
        <v>1</v>
      </c>
      <c r="AD566" s="596">
        <f t="shared" si="162"/>
        <v>1</v>
      </c>
      <c r="AE566" s="621">
        <f t="shared" si="162"/>
        <v>1</v>
      </c>
      <c r="AF566" s="822"/>
      <c r="AG566" s="828"/>
      <c r="AH566" s="822"/>
      <c r="AI566" s="822"/>
      <c r="AJ566" s="822"/>
      <c r="AK566" s="806"/>
      <c r="AL566" s="806"/>
      <c r="AM566" s="806"/>
      <c r="AN566" s="806"/>
      <c r="AO566" s="806"/>
      <c r="AP566" s="806"/>
      <c r="AQ566" s="806"/>
      <c r="AR566" s="806"/>
      <c r="AS566" s="806"/>
      <c r="AT566" s="806"/>
      <c r="AU566" s="806"/>
      <c r="AV566" s="806"/>
      <c r="AW566" s="806"/>
      <c r="AX566" s="806"/>
      <c r="AY566" s="806"/>
    </row>
    <row r="567" spans="1:51" ht="28.9" customHeight="1" x14ac:dyDescent="0.25">
      <c r="A567" s="828"/>
      <c r="B567" s="822"/>
      <c r="C567" s="839"/>
      <c r="D567" s="578" t="s">
        <v>354</v>
      </c>
      <c r="E567" s="627"/>
      <c r="F567" s="609"/>
      <c r="G567" s="624"/>
      <c r="H567" s="624"/>
      <c r="I567" s="619"/>
      <c r="J567" s="619"/>
      <c r="K567" s="596">
        <v>22676642.857142858</v>
      </c>
      <c r="L567" s="575">
        <v>18674882.352941178</v>
      </c>
      <c r="M567" s="596">
        <f t="shared" ref="M567:R567" si="163">+M563+M565</f>
        <v>17735011.818181816</v>
      </c>
      <c r="N567" s="596">
        <f t="shared" si="163"/>
        <v>14071861.818181818</v>
      </c>
      <c r="O567" s="596">
        <f t="shared" si="163"/>
        <v>14071861.818181818</v>
      </c>
      <c r="P567" s="596">
        <f t="shared" si="163"/>
        <v>12697819.058355438</v>
      </c>
      <c r="Q567" s="596">
        <f t="shared" si="163"/>
        <v>11671505.48076923</v>
      </c>
      <c r="R567" s="596">
        <f t="shared" si="163"/>
        <v>11660644.819004524</v>
      </c>
      <c r="S567" s="596"/>
      <c r="T567" s="621"/>
      <c r="U567" s="621"/>
      <c r="V567" s="619"/>
      <c r="W567" s="621"/>
      <c r="X567" s="596">
        <v>22676642.857142858</v>
      </c>
      <c r="Y567" s="596">
        <v>18674882.352941178</v>
      </c>
      <c r="Z567" s="596">
        <f t="shared" si="162"/>
        <v>17735011.818181816</v>
      </c>
      <c r="AA567" s="580">
        <f t="shared" si="162"/>
        <v>14071861.818181818</v>
      </c>
      <c r="AB567" s="596">
        <f t="shared" si="162"/>
        <v>14071861.818181818</v>
      </c>
      <c r="AC567" s="596">
        <f t="shared" si="162"/>
        <v>12697819.058355438</v>
      </c>
      <c r="AD567" s="596">
        <f t="shared" si="162"/>
        <v>11671505.48076923</v>
      </c>
      <c r="AE567" s="596">
        <f t="shared" si="162"/>
        <v>11660644.819004524</v>
      </c>
      <c r="AF567" s="823"/>
      <c r="AG567" s="829"/>
      <c r="AH567" s="823"/>
      <c r="AI567" s="823"/>
      <c r="AJ567" s="823"/>
      <c r="AK567" s="807"/>
      <c r="AL567" s="807"/>
      <c r="AM567" s="807"/>
      <c r="AN567" s="807"/>
      <c r="AO567" s="807"/>
      <c r="AP567" s="807"/>
      <c r="AQ567" s="807"/>
      <c r="AR567" s="807"/>
      <c r="AS567" s="807"/>
      <c r="AT567" s="807"/>
      <c r="AU567" s="807"/>
      <c r="AV567" s="807"/>
      <c r="AW567" s="807"/>
      <c r="AX567" s="807"/>
      <c r="AY567" s="807"/>
    </row>
    <row r="568" spans="1:51" ht="19.149999999999999" customHeight="1" x14ac:dyDescent="0.25">
      <c r="A568" s="828"/>
      <c r="B568" s="822"/>
      <c r="C568" s="837" t="s">
        <v>630</v>
      </c>
      <c r="D568" s="572" t="s">
        <v>345</v>
      </c>
      <c r="E568" s="582"/>
      <c r="F568" s="582"/>
      <c r="G568" s="597"/>
      <c r="H568" s="597"/>
      <c r="I568" s="596"/>
      <c r="J568" s="596"/>
      <c r="K568" s="621"/>
      <c r="L568" s="596">
        <v>1</v>
      </c>
      <c r="M568" s="580">
        <v>1</v>
      </c>
      <c r="N568" s="593">
        <v>2</v>
      </c>
      <c r="O568" s="596">
        <v>2</v>
      </c>
      <c r="P568" s="596">
        <v>2</v>
      </c>
      <c r="Q568" s="596">
        <v>2</v>
      </c>
      <c r="R568" s="596">
        <v>2</v>
      </c>
      <c r="S568" s="596"/>
      <c r="T568" s="593"/>
      <c r="U568" s="593"/>
      <c r="V568" s="596">
        <v>0</v>
      </c>
      <c r="W568" s="596">
        <v>0</v>
      </c>
      <c r="X568" s="596">
        <v>0</v>
      </c>
      <c r="Y568" s="596">
        <v>1</v>
      </c>
      <c r="Z568" s="596">
        <f t="shared" si="162"/>
        <v>1</v>
      </c>
      <c r="AA568" s="580">
        <f t="shared" si="162"/>
        <v>2</v>
      </c>
      <c r="AB568" s="596">
        <f t="shared" si="162"/>
        <v>2</v>
      </c>
      <c r="AC568" s="596">
        <f t="shared" si="162"/>
        <v>2</v>
      </c>
      <c r="AD568" s="596">
        <f t="shared" si="162"/>
        <v>2</v>
      </c>
      <c r="AE568" s="596">
        <f t="shared" si="162"/>
        <v>2</v>
      </c>
      <c r="AF568" s="852" t="s">
        <v>857</v>
      </c>
      <c r="AG568" s="853" t="s">
        <v>628</v>
      </c>
      <c r="AH568" s="849">
        <v>46</v>
      </c>
      <c r="AI568" s="849" t="s">
        <v>858</v>
      </c>
      <c r="AJ568" s="849" t="s">
        <v>849</v>
      </c>
      <c r="AK568" s="851" t="s">
        <v>490</v>
      </c>
      <c r="AL568" s="851" t="s">
        <v>765</v>
      </c>
      <c r="AM568" s="851" t="s">
        <v>752</v>
      </c>
      <c r="AN568" s="848">
        <v>1035224</v>
      </c>
      <c r="AO568" s="848">
        <v>501861</v>
      </c>
      <c r="AP568" s="848">
        <v>533363</v>
      </c>
      <c r="AQ568" s="845" t="s">
        <v>492</v>
      </c>
      <c r="AR568" s="845" t="s">
        <v>492</v>
      </c>
      <c r="AS568" s="845" t="s">
        <v>492</v>
      </c>
      <c r="AT568" s="845" t="s">
        <v>492</v>
      </c>
      <c r="AU568" s="845" t="s">
        <v>492</v>
      </c>
      <c r="AV568" s="845" t="s">
        <v>492</v>
      </c>
      <c r="AW568" s="845" t="s">
        <v>492</v>
      </c>
      <c r="AX568" s="847">
        <v>1034293</v>
      </c>
      <c r="AY568" s="845" t="s">
        <v>837</v>
      </c>
    </row>
    <row r="569" spans="1:51" ht="19.149999999999999" customHeight="1" x14ac:dyDescent="0.25">
      <c r="A569" s="828"/>
      <c r="B569" s="822"/>
      <c r="C569" s="838"/>
      <c r="D569" s="578" t="s">
        <v>349</v>
      </c>
      <c r="E569" s="582"/>
      <c r="F569" s="582"/>
      <c r="G569" s="597"/>
      <c r="H569" s="583"/>
      <c r="I569" s="575"/>
      <c r="J569" s="575"/>
      <c r="K569" s="619"/>
      <c r="L569" s="580">
        <v>18674882.352941178</v>
      </c>
      <c r="M569" s="580">
        <f>+M568*$Z$533/$Z$532</f>
        <v>15873650</v>
      </c>
      <c r="N569" s="580">
        <f>+N568*$AA$533/$AA$532</f>
        <v>24421000</v>
      </c>
      <c r="O569" s="580">
        <f>+O568*$AB$533/$AB$532</f>
        <v>24421000</v>
      </c>
      <c r="P569" s="580">
        <f>+P568*$AC$533/$AC$532</f>
        <v>21894689.655172415</v>
      </c>
      <c r="Q569" s="580">
        <f>+Q568*$AD$533/$AD$532</f>
        <v>19842062.5</v>
      </c>
      <c r="R569" s="580">
        <f>+R568*$AE$533/$AE$532</f>
        <v>19820341.176470589</v>
      </c>
      <c r="S569" s="580"/>
      <c r="T569" s="596"/>
      <c r="U569" s="575"/>
      <c r="V569" s="596">
        <v>0</v>
      </c>
      <c r="W569" s="596">
        <v>0</v>
      </c>
      <c r="X569" s="596">
        <v>0</v>
      </c>
      <c r="Y569" s="596">
        <v>18674882.352941178</v>
      </c>
      <c r="Z569" s="596">
        <f t="shared" si="162"/>
        <v>15873650</v>
      </c>
      <c r="AA569" s="580">
        <f t="shared" si="162"/>
        <v>24421000</v>
      </c>
      <c r="AB569" s="596">
        <f t="shared" si="162"/>
        <v>24421000</v>
      </c>
      <c r="AC569" s="596">
        <f t="shared" si="162"/>
        <v>21894689.655172415</v>
      </c>
      <c r="AD569" s="596">
        <f t="shared" si="162"/>
        <v>19842062.5</v>
      </c>
      <c r="AE569" s="580">
        <f t="shared" si="162"/>
        <v>19820341.176470589</v>
      </c>
      <c r="AF569" s="838"/>
      <c r="AG569" s="828"/>
      <c r="AH569" s="822"/>
      <c r="AI569" s="822"/>
      <c r="AJ569" s="822"/>
      <c r="AK569" s="806"/>
      <c r="AL569" s="806"/>
      <c r="AM569" s="806"/>
      <c r="AN569" s="806"/>
      <c r="AO569" s="806"/>
      <c r="AP569" s="806"/>
      <c r="AQ569" s="806"/>
      <c r="AR569" s="806"/>
      <c r="AS569" s="806"/>
      <c r="AT569" s="806"/>
      <c r="AU569" s="806"/>
      <c r="AV569" s="806"/>
      <c r="AW569" s="806"/>
      <c r="AX569" s="806"/>
      <c r="AY569" s="806"/>
    </row>
    <row r="570" spans="1:51" ht="28.9" customHeight="1" x14ac:dyDescent="0.25">
      <c r="A570" s="828"/>
      <c r="B570" s="822"/>
      <c r="C570" s="838"/>
      <c r="D570" s="579" t="s">
        <v>351</v>
      </c>
      <c r="E570" s="582"/>
      <c r="F570" s="582"/>
      <c r="G570" s="597"/>
      <c r="H570" s="597"/>
      <c r="I570" s="596"/>
      <c r="J570" s="596"/>
      <c r="K570" s="621"/>
      <c r="L570" s="596"/>
      <c r="M570" s="580"/>
      <c r="N570" s="593"/>
      <c r="O570" s="596"/>
      <c r="P570" s="596"/>
      <c r="Q570" s="596"/>
      <c r="R570" s="596"/>
      <c r="S570" s="596"/>
      <c r="T570" s="593"/>
      <c r="U570" s="593"/>
      <c r="V570" s="596">
        <v>0</v>
      </c>
      <c r="W570" s="596">
        <v>0</v>
      </c>
      <c r="X570" s="596">
        <v>0</v>
      </c>
      <c r="Y570" s="596">
        <v>0</v>
      </c>
      <c r="Z570" s="596">
        <f t="shared" si="162"/>
        <v>0</v>
      </c>
      <c r="AA570" s="580">
        <f t="shared" si="162"/>
        <v>0</v>
      </c>
      <c r="AB570" s="596">
        <f t="shared" si="162"/>
        <v>0</v>
      </c>
      <c r="AC570" s="596">
        <f t="shared" si="162"/>
        <v>0</v>
      </c>
      <c r="AD570" s="596">
        <f t="shared" si="162"/>
        <v>0</v>
      </c>
      <c r="AE570" s="596">
        <f t="shared" si="162"/>
        <v>0</v>
      </c>
      <c r="AF570" s="838"/>
      <c r="AG570" s="828"/>
      <c r="AH570" s="822"/>
      <c r="AI570" s="822"/>
      <c r="AJ570" s="822"/>
      <c r="AK570" s="806"/>
      <c r="AL570" s="806"/>
      <c r="AM570" s="806"/>
      <c r="AN570" s="806"/>
      <c r="AO570" s="806"/>
      <c r="AP570" s="806"/>
      <c r="AQ570" s="806"/>
      <c r="AR570" s="806"/>
      <c r="AS570" s="806"/>
      <c r="AT570" s="806"/>
      <c r="AU570" s="806"/>
      <c r="AV570" s="806"/>
      <c r="AW570" s="806"/>
      <c r="AX570" s="806"/>
      <c r="AY570" s="806"/>
    </row>
    <row r="571" spans="1:51" ht="28.9" customHeight="1" x14ac:dyDescent="0.25">
      <c r="A571" s="828"/>
      <c r="B571" s="822"/>
      <c r="C571" s="838"/>
      <c r="D571" s="578" t="s">
        <v>352</v>
      </c>
      <c r="E571" s="582"/>
      <c r="F571" s="582"/>
      <c r="G571" s="597"/>
      <c r="H571" s="597"/>
      <c r="I571" s="596"/>
      <c r="J571" s="596"/>
      <c r="K571" s="621"/>
      <c r="L571" s="628"/>
      <c r="M571" s="596">
        <v>1861361.8181818181</v>
      </c>
      <c r="N571" s="596">
        <v>1861361.8181818181</v>
      </c>
      <c r="O571" s="596">
        <v>1861361.8181818181</v>
      </c>
      <c r="P571" s="596">
        <v>1750474.2307692308</v>
      </c>
      <c r="Q571" s="596">
        <v>1750474.2307692308</v>
      </c>
      <c r="R571" s="596">
        <v>1750474.2307692308</v>
      </c>
      <c r="S571" s="596"/>
      <c r="T571" s="593"/>
      <c r="U571" s="596"/>
      <c r="V571" s="596">
        <v>0</v>
      </c>
      <c r="W571" s="596">
        <v>0</v>
      </c>
      <c r="X571" s="596">
        <v>0</v>
      </c>
      <c r="Y571" s="596">
        <v>0</v>
      </c>
      <c r="Z571" s="596">
        <f t="shared" si="162"/>
        <v>1861361.8181818181</v>
      </c>
      <c r="AA571" s="580">
        <f t="shared" si="162"/>
        <v>1861361.8181818181</v>
      </c>
      <c r="AB571" s="596">
        <f t="shared" si="162"/>
        <v>1861361.8181818181</v>
      </c>
      <c r="AC571" s="596">
        <f t="shared" si="162"/>
        <v>1750474.2307692308</v>
      </c>
      <c r="AD571" s="596">
        <f t="shared" si="162"/>
        <v>1750474.2307692308</v>
      </c>
      <c r="AE571" s="596">
        <f t="shared" si="162"/>
        <v>1750474.2307692308</v>
      </c>
      <c r="AF571" s="838"/>
      <c r="AG571" s="828"/>
      <c r="AH571" s="822"/>
      <c r="AI571" s="822"/>
      <c r="AJ571" s="822"/>
      <c r="AK571" s="806"/>
      <c r="AL571" s="806"/>
      <c r="AM571" s="806"/>
      <c r="AN571" s="806"/>
      <c r="AO571" s="806"/>
      <c r="AP571" s="806"/>
      <c r="AQ571" s="806"/>
      <c r="AR571" s="806"/>
      <c r="AS571" s="806"/>
      <c r="AT571" s="806"/>
      <c r="AU571" s="806"/>
      <c r="AV571" s="806"/>
      <c r="AW571" s="806"/>
      <c r="AX571" s="806"/>
      <c r="AY571" s="806"/>
    </row>
    <row r="572" spans="1:51" ht="28.9" customHeight="1" x14ac:dyDescent="0.25">
      <c r="A572" s="828"/>
      <c r="B572" s="822"/>
      <c r="C572" s="838"/>
      <c r="D572" s="579" t="s">
        <v>353</v>
      </c>
      <c r="E572" s="582"/>
      <c r="F572" s="582"/>
      <c r="G572" s="597"/>
      <c r="H572" s="597"/>
      <c r="I572" s="596"/>
      <c r="J572" s="596"/>
      <c r="K572" s="621"/>
      <c r="L572" s="596">
        <v>1</v>
      </c>
      <c r="M572" s="580">
        <v>1</v>
      </c>
      <c r="N572" s="593">
        <v>2</v>
      </c>
      <c r="O572" s="593">
        <v>2</v>
      </c>
      <c r="P572" s="596">
        <v>2</v>
      </c>
      <c r="Q572" s="596">
        <v>2</v>
      </c>
      <c r="R572" s="596">
        <v>2</v>
      </c>
      <c r="S572" s="596"/>
      <c r="T572" s="593"/>
      <c r="U572" s="593"/>
      <c r="V572" s="596">
        <v>0</v>
      </c>
      <c r="W572" s="596">
        <v>0</v>
      </c>
      <c r="X572" s="596">
        <v>0</v>
      </c>
      <c r="Y572" s="596">
        <v>1</v>
      </c>
      <c r="Z572" s="596">
        <f t="shared" si="162"/>
        <v>1</v>
      </c>
      <c r="AA572" s="580">
        <f t="shared" si="162"/>
        <v>2</v>
      </c>
      <c r="AB572" s="596">
        <f t="shared" si="162"/>
        <v>2</v>
      </c>
      <c r="AC572" s="596">
        <f t="shared" si="162"/>
        <v>2</v>
      </c>
      <c r="AD572" s="596">
        <f t="shared" si="162"/>
        <v>2</v>
      </c>
      <c r="AE572" s="596">
        <f t="shared" si="162"/>
        <v>2</v>
      </c>
      <c r="AF572" s="838"/>
      <c r="AG572" s="828"/>
      <c r="AH572" s="822"/>
      <c r="AI572" s="822"/>
      <c r="AJ572" s="822"/>
      <c r="AK572" s="806"/>
      <c r="AL572" s="806"/>
      <c r="AM572" s="806"/>
      <c r="AN572" s="806"/>
      <c r="AO572" s="806"/>
      <c r="AP572" s="806"/>
      <c r="AQ572" s="806"/>
      <c r="AR572" s="806"/>
      <c r="AS572" s="806"/>
      <c r="AT572" s="806"/>
      <c r="AU572" s="806"/>
      <c r="AV572" s="806"/>
      <c r="AW572" s="806"/>
      <c r="AX572" s="806"/>
      <c r="AY572" s="806"/>
    </row>
    <row r="573" spans="1:51" ht="28.9" customHeight="1" x14ac:dyDescent="0.25">
      <c r="A573" s="828"/>
      <c r="B573" s="822"/>
      <c r="C573" s="839"/>
      <c r="D573" s="578" t="s">
        <v>354</v>
      </c>
      <c r="E573" s="582"/>
      <c r="F573" s="582"/>
      <c r="G573" s="597"/>
      <c r="H573" s="583"/>
      <c r="I573" s="575"/>
      <c r="J573" s="575"/>
      <c r="K573" s="621"/>
      <c r="L573" s="575">
        <v>18674882.352941178</v>
      </c>
      <c r="M573" s="596">
        <f t="shared" ref="M573:R573" si="164">+M569+M571</f>
        <v>17735011.818181816</v>
      </c>
      <c r="N573" s="596">
        <f t="shared" si="164"/>
        <v>26282361.818181816</v>
      </c>
      <c r="O573" s="596">
        <f t="shared" si="164"/>
        <v>26282361.818181816</v>
      </c>
      <c r="P573" s="596">
        <f t="shared" si="164"/>
        <v>23645163.885941647</v>
      </c>
      <c r="Q573" s="596">
        <f t="shared" si="164"/>
        <v>21592536.730769232</v>
      </c>
      <c r="R573" s="596">
        <f t="shared" si="164"/>
        <v>21570815.407239821</v>
      </c>
      <c r="S573" s="596"/>
      <c r="T573" s="596"/>
      <c r="U573" s="575"/>
      <c r="V573" s="596">
        <v>0</v>
      </c>
      <c r="W573" s="596">
        <v>0</v>
      </c>
      <c r="X573" s="596">
        <v>0</v>
      </c>
      <c r="Y573" s="596">
        <v>18674882.352941178</v>
      </c>
      <c r="Z573" s="596">
        <f t="shared" si="162"/>
        <v>17735011.818181816</v>
      </c>
      <c r="AA573" s="580">
        <f t="shared" si="162"/>
        <v>26282361.818181816</v>
      </c>
      <c r="AB573" s="596">
        <f t="shared" si="162"/>
        <v>26282361.818181816</v>
      </c>
      <c r="AC573" s="596">
        <f t="shared" si="162"/>
        <v>23645163.885941647</v>
      </c>
      <c r="AD573" s="596">
        <f t="shared" si="162"/>
        <v>21592536.730769232</v>
      </c>
      <c r="AE573" s="596">
        <f t="shared" si="162"/>
        <v>21570815.407239821</v>
      </c>
      <c r="AF573" s="839"/>
      <c r="AG573" s="829"/>
      <c r="AH573" s="823"/>
      <c r="AI573" s="823"/>
      <c r="AJ573" s="823"/>
      <c r="AK573" s="807"/>
      <c r="AL573" s="807"/>
      <c r="AM573" s="807"/>
      <c r="AN573" s="807"/>
      <c r="AO573" s="807"/>
      <c r="AP573" s="807"/>
      <c r="AQ573" s="807"/>
      <c r="AR573" s="807"/>
      <c r="AS573" s="807"/>
      <c r="AT573" s="807"/>
      <c r="AU573" s="807"/>
      <c r="AV573" s="807"/>
      <c r="AW573" s="807"/>
      <c r="AX573" s="807"/>
      <c r="AY573" s="807"/>
    </row>
    <row r="574" spans="1:51" ht="19.149999999999999" customHeight="1" x14ac:dyDescent="0.25">
      <c r="A574" s="828"/>
      <c r="B574" s="822"/>
      <c r="C574" s="837" t="s">
        <v>784</v>
      </c>
      <c r="D574" s="572" t="s">
        <v>345</v>
      </c>
      <c r="E574" s="582"/>
      <c r="F574" s="582"/>
      <c r="G574" s="597"/>
      <c r="H574" s="597"/>
      <c r="I574" s="575"/>
      <c r="J574" s="593">
        <v>1</v>
      </c>
      <c r="K574" s="593">
        <v>1</v>
      </c>
      <c r="L574" s="596">
        <v>1</v>
      </c>
      <c r="M574" s="596">
        <v>1</v>
      </c>
      <c r="N574" s="596">
        <v>1</v>
      </c>
      <c r="O574" s="596">
        <v>1</v>
      </c>
      <c r="P574" s="596">
        <v>1</v>
      </c>
      <c r="Q574" s="596">
        <v>1</v>
      </c>
      <c r="R574" s="596">
        <v>1</v>
      </c>
      <c r="S574" s="596"/>
      <c r="T574" s="596"/>
      <c r="U574" s="596"/>
      <c r="V574" s="575"/>
      <c r="W574" s="596">
        <v>1</v>
      </c>
      <c r="X574" s="596">
        <v>1</v>
      </c>
      <c r="Y574" s="596">
        <v>1</v>
      </c>
      <c r="Z574" s="596">
        <f t="shared" si="162"/>
        <v>1</v>
      </c>
      <c r="AA574" s="580">
        <f t="shared" si="162"/>
        <v>1</v>
      </c>
      <c r="AB574" s="596">
        <f t="shared" si="162"/>
        <v>1</v>
      </c>
      <c r="AC574" s="596">
        <f t="shared" si="162"/>
        <v>1</v>
      </c>
      <c r="AD574" s="596">
        <f t="shared" si="162"/>
        <v>1</v>
      </c>
      <c r="AE574" s="596">
        <f t="shared" si="162"/>
        <v>1</v>
      </c>
      <c r="AF574" s="852" t="s">
        <v>859</v>
      </c>
      <c r="AG574" s="853" t="s">
        <v>860</v>
      </c>
      <c r="AH574" s="849">
        <v>76</v>
      </c>
      <c r="AI574" s="849" t="s">
        <v>861</v>
      </c>
      <c r="AJ574" s="849" t="s">
        <v>849</v>
      </c>
      <c r="AK574" s="850" t="s">
        <v>490</v>
      </c>
      <c r="AL574" s="851" t="s">
        <v>765</v>
      </c>
      <c r="AM574" s="851" t="s">
        <v>752</v>
      </c>
      <c r="AN574" s="851">
        <v>404252</v>
      </c>
      <c r="AO574" s="851">
        <v>188605</v>
      </c>
      <c r="AP574" s="851">
        <v>215647</v>
      </c>
      <c r="AQ574" s="845" t="s">
        <v>492</v>
      </c>
      <c r="AR574" s="845" t="s">
        <v>492</v>
      </c>
      <c r="AS574" s="845" t="s">
        <v>492</v>
      </c>
      <c r="AT574" s="845" t="s">
        <v>492</v>
      </c>
      <c r="AU574" s="845" t="s">
        <v>492</v>
      </c>
      <c r="AV574" s="845" t="s">
        <v>492</v>
      </c>
      <c r="AW574" s="845" t="s">
        <v>492</v>
      </c>
      <c r="AX574" s="854">
        <v>404252</v>
      </c>
      <c r="AY574" s="845" t="s">
        <v>837</v>
      </c>
    </row>
    <row r="575" spans="1:51" ht="19.149999999999999" customHeight="1" x14ac:dyDescent="0.25">
      <c r="A575" s="828"/>
      <c r="B575" s="822"/>
      <c r="C575" s="838"/>
      <c r="D575" s="578" t="s">
        <v>349</v>
      </c>
      <c r="E575" s="582"/>
      <c r="F575" s="582"/>
      <c r="G575" s="597"/>
      <c r="H575" s="597"/>
      <c r="I575" s="575"/>
      <c r="J575" s="580">
        <v>31747300</v>
      </c>
      <c r="K575" s="580">
        <v>22676642.857142858</v>
      </c>
      <c r="L575" s="580">
        <v>18674882.352941178</v>
      </c>
      <c r="M575" s="580">
        <f>+M574*$Z$533/$Z$532</f>
        <v>15873650</v>
      </c>
      <c r="N575" s="580">
        <f>+N574*$AA$533/$AA$532</f>
        <v>12210500</v>
      </c>
      <c r="O575" s="580">
        <f>+O574*$AB$533/$AB$532</f>
        <v>12210500</v>
      </c>
      <c r="P575" s="580">
        <f>+P574*$AC$533/$AC$532</f>
        <v>10947344.827586208</v>
      </c>
      <c r="Q575" s="580">
        <f>+Q574*$AD$533/$AD$532</f>
        <v>9921031.25</v>
      </c>
      <c r="R575" s="580">
        <f>+R574*$AE$533/$AE$532</f>
        <v>9910170.5882352944</v>
      </c>
      <c r="S575" s="580"/>
      <c r="T575" s="596"/>
      <c r="U575" s="596"/>
      <c r="V575" s="575"/>
      <c r="W575" s="596">
        <v>31747300</v>
      </c>
      <c r="X575" s="596">
        <v>22676642.857142858</v>
      </c>
      <c r="Y575" s="596">
        <v>18674882.352941178</v>
      </c>
      <c r="Z575" s="596">
        <f t="shared" si="162"/>
        <v>15873650</v>
      </c>
      <c r="AA575" s="580">
        <f t="shared" si="162"/>
        <v>12210500</v>
      </c>
      <c r="AB575" s="596">
        <f t="shared" si="162"/>
        <v>12210500</v>
      </c>
      <c r="AC575" s="596">
        <f t="shared" si="162"/>
        <v>10947344.827586208</v>
      </c>
      <c r="AD575" s="596">
        <f t="shared" si="162"/>
        <v>9921031.25</v>
      </c>
      <c r="AE575" s="580">
        <f t="shared" si="162"/>
        <v>9910170.5882352944</v>
      </c>
      <c r="AF575" s="838"/>
      <c r="AG575" s="828"/>
      <c r="AH575" s="822"/>
      <c r="AI575" s="822"/>
      <c r="AJ575" s="822"/>
      <c r="AK575" s="806"/>
      <c r="AL575" s="806"/>
      <c r="AM575" s="806"/>
      <c r="AN575" s="806"/>
      <c r="AO575" s="806"/>
      <c r="AP575" s="806"/>
      <c r="AQ575" s="806"/>
      <c r="AR575" s="806"/>
      <c r="AS575" s="806"/>
      <c r="AT575" s="806"/>
      <c r="AU575" s="806"/>
      <c r="AV575" s="806"/>
      <c r="AW575" s="806"/>
      <c r="AX575" s="806"/>
      <c r="AY575" s="806"/>
    </row>
    <row r="576" spans="1:51" ht="28.9" customHeight="1" x14ac:dyDescent="0.25">
      <c r="A576" s="828"/>
      <c r="B576" s="822"/>
      <c r="C576" s="838"/>
      <c r="D576" s="579" t="s">
        <v>351</v>
      </c>
      <c r="E576" s="582"/>
      <c r="F576" s="582"/>
      <c r="G576" s="597"/>
      <c r="H576" s="597"/>
      <c r="I576" s="575"/>
      <c r="J576" s="575"/>
      <c r="K576" s="575"/>
      <c r="L576" s="596"/>
      <c r="M576" s="596"/>
      <c r="N576" s="596"/>
      <c r="O576" s="596"/>
      <c r="P576" s="596"/>
      <c r="Q576" s="596"/>
      <c r="R576" s="596"/>
      <c r="S576" s="596"/>
      <c r="T576" s="596"/>
      <c r="U576" s="596"/>
      <c r="V576" s="575"/>
      <c r="W576" s="596">
        <v>0</v>
      </c>
      <c r="X576" s="596">
        <v>0</v>
      </c>
      <c r="Y576" s="596">
        <v>0</v>
      </c>
      <c r="Z576" s="596">
        <f t="shared" si="162"/>
        <v>0</v>
      </c>
      <c r="AA576" s="580">
        <f t="shared" si="162"/>
        <v>0</v>
      </c>
      <c r="AB576" s="596">
        <f t="shared" si="162"/>
        <v>0</v>
      </c>
      <c r="AC576" s="596">
        <f t="shared" si="162"/>
        <v>0</v>
      </c>
      <c r="AD576" s="596">
        <f t="shared" si="162"/>
        <v>0</v>
      </c>
      <c r="AE576" s="596">
        <f t="shared" si="162"/>
        <v>0</v>
      </c>
      <c r="AF576" s="838"/>
      <c r="AG576" s="828"/>
      <c r="AH576" s="822"/>
      <c r="AI576" s="822"/>
      <c r="AJ576" s="822"/>
      <c r="AK576" s="806"/>
      <c r="AL576" s="806"/>
      <c r="AM576" s="806"/>
      <c r="AN576" s="806"/>
      <c r="AO576" s="806"/>
      <c r="AP576" s="806"/>
      <c r="AQ576" s="806"/>
      <c r="AR576" s="806"/>
      <c r="AS576" s="806"/>
      <c r="AT576" s="806"/>
      <c r="AU576" s="806"/>
      <c r="AV576" s="806"/>
      <c r="AW576" s="806"/>
      <c r="AX576" s="806"/>
      <c r="AY576" s="806"/>
    </row>
    <row r="577" spans="1:51" ht="28.9" customHeight="1" x14ac:dyDescent="0.25">
      <c r="A577" s="828"/>
      <c r="B577" s="822"/>
      <c r="C577" s="838"/>
      <c r="D577" s="578" t="s">
        <v>352</v>
      </c>
      <c r="E577" s="582"/>
      <c r="F577" s="582"/>
      <c r="G577" s="597"/>
      <c r="H577" s="597"/>
      <c r="I577" s="575"/>
      <c r="J577" s="575"/>
      <c r="K577" s="575"/>
      <c r="L577" s="596"/>
      <c r="M577" s="596">
        <v>1861361.8181818181</v>
      </c>
      <c r="N577" s="596">
        <v>1861361.8181818181</v>
      </c>
      <c r="O577" s="596">
        <v>1861361.8181818181</v>
      </c>
      <c r="P577" s="596">
        <v>1750474.2307692308</v>
      </c>
      <c r="Q577" s="596">
        <v>1750474.2307692308</v>
      </c>
      <c r="R577" s="596">
        <v>1750474.2307692308</v>
      </c>
      <c r="S577" s="596"/>
      <c r="T577" s="596"/>
      <c r="U577" s="596"/>
      <c r="V577" s="575"/>
      <c r="W577" s="596">
        <v>0</v>
      </c>
      <c r="X577" s="596">
        <v>0</v>
      </c>
      <c r="Y577" s="596">
        <v>0</v>
      </c>
      <c r="Z577" s="596">
        <f t="shared" si="162"/>
        <v>1861361.8181818181</v>
      </c>
      <c r="AA577" s="580">
        <f t="shared" si="162"/>
        <v>1861361.8181818181</v>
      </c>
      <c r="AB577" s="596">
        <f t="shared" si="162"/>
        <v>1861361.8181818181</v>
      </c>
      <c r="AC577" s="596">
        <f t="shared" si="162"/>
        <v>1750474.2307692308</v>
      </c>
      <c r="AD577" s="596">
        <f t="shared" si="162"/>
        <v>1750474.2307692308</v>
      </c>
      <c r="AE577" s="596">
        <f t="shared" si="162"/>
        <v>1750474.2307692308</v>
      </c>
      <c r="AF577" s="838"/>
      <c r="AG577" s="828"/>
      <c r="AH577" s="822"/>
      <c r="AI577" s="822"/>
      <c r="AJ577" s="822"/>
      <c r="AK577" s="806"/>
      <c r="AL577" s="806"/>
      <c r="AM577" s="806"/>
      <c r="AN577" s="806"/>
      <c r="AO577" s="806"/>
      <c r="AP577" s="806"/>
      <c r="AQ577" s="806"/>
      <c r="AR577" s="806"/>
      <c r="AS577" s="806"/>
      <c r="AT577" s="806"/>
      <c r="AU577" s="806"/>
      <c r="AV577" s="806"/>
      <c r="AW577" s="806"/>
      <c r="AX577" s="806"/>
      <c r="AY577" s="806"/>
    </row>
    <row r="578" spans="1:51" ht="28.9" customHeight="1" x14ac:dyDescent="0.25">
      <c r="A578" s="828"/>
      <c r="B578" s="822"/>
      <c r="C578" s="838"/>
      <c r="D578" s="579" t="s">
        <v>353</v>
      </c>
      <c r="E578" s="582"/>
      <c r="F578" s="582"/>
      <c r="G578" s="597"/>
      <c r="H578" s="597"/>
      <c r="I578" s="575"/>
      <c r="J578" s="593">
        <v>1</v>
      </c>
      <c r="K578" s="593">
        <v>1</v>
      </c>
      <c r="L578" s="596">
        <v>1</v>
      </c>
      <c r="M578" s="596">
        <v>1</v>
      </c>
      <c r="N578" s="596">
        <v>1</v>
      </c>
      <c r="O578" s="596">
        <v>1</v>
      </c>
      <c r="P578" s="596">
        <v>1</v>
      </c>
      <c r="Q578" s="596">
        <v>1</v>
      </c>
      <c r="R578" s="596">
        <v>1</v>
      </c>
      <c r="S578" s="596"/>
      <c r="T578" s="596"/>
      <c r="U578" s="596"/>
      <c r="V578" s="575"/>
      <c r="W578" s="596">
        <v>1</v>
      </c>
      <c r="X578" s="596">
        <v>1</v>
      </c>
      <c r="Y578" s="596">
        <v>1</v>
      </c>
      <c r="Z578" s="596">
        <f t="shared" ref="Z578:AE593" si="165">+M578</f>
        <v>1</v>
      </c>
      <c r="AA578" s="580">
        <f t="shared" si="165"/>
        <v>1</v>
      </c>
      <c r="AB578" s="596">
        <f t="shared" si="165"/>
        <v>1</v>
      </c>
      <c r="AC578" s="596">
        <f t="shared" si="165"/>
        <v>1</v>
      </c>
      <c r="AD578" s="596">
        <f t="shared" si="165"/>
        <v>1</v>
      </c>
      <c r="AE578" s="596">
        <f t="shared" si="165"/>
        <v>1</v>
      </c>
      <c r="AF578" s="838"/>
      <c r="AG578" s="828"/>
      <c r="AH578" s="822"/>
      <c r="AI578" s="822"/>
      <c r="AJ578" s="822"/>
      <c r="AK578" s="806"/>
      <c r="AL578" s="806"/>
      <c r="AM578" s="806"/>
      <c r="AN578" s="806"/>
      <c r="AO578" s="806"/>
      <c r="AP578" s="806"/>
      <c r="AQ578" s="806"/>
      <c r="AR578" s="806"/>
      <c r="AS578" s="806"/>
      <c r="AT578" s="806"/>
      <c r="AU578" s="806"/>
      <c r="AV578" s="806"/>
      <c r="AW578" s="806"/>
      <c r="AX578" s="806"/>
      <c r="AY578" s="806"/>
    </row>
    <row r="579" spans="1:51" ht="28.9" customHeight="1" x14ac:dyDescent="0.25">
      <c r="A579" s="828"/>
      <c r="B579" s="822"/>
      <c r="C579" s="839"/>
      <c r="D579" s="578" t="s">
        <v>354</v>
      </c>
      <c r="E579" s="582"/>
      <c r="F579" s="582"/>
      <c r="G579" s="597"/>
      <c r="H579" s="597"/>
      <c r="I579" s="575"/>
      <c r="J579" s="575">
        <v>31747300</v>
      </c>
      <c r="K579" s="575">
        <v>22676642.857142858</v>
      </c>
      <c r="L579" s="575">
        <v>18674882.352941178</v>
      </c>
      <c r="M579" s="596">
        <f t="shared" ref="M579:R579" si="166">+M575+M577</f>
        <v>17735011.818181816</v>
      </c>
      <c r="N579" s="596">
        <f t="shared" si="166"/>
        <v>14071861.818181818</v>
      </c>
      <c r="O579" s="596">
        <f t="shared" si="166"/>
        <v>14071861.818181818</v>
      </c>
      <c r="P579" s="596">
        <f t="shared" si="166"/>
        <v>12697819.058355438</v>
      </c>
      <c r="Q579" s="596">
        <f t="shared" si="166"/>
        <v>11671505.48076923</v>
      </c>
      <c r="R579" s="596">
        <f t="shared" si="166"/>
        <v>11660644.819004524</v>
      </c>
      <c r="S579" s="596"/>
      <c r="T579" s="596"/>
      <c r="U579" s="596"/>
      <c r="V579" s="575"/>
      <c r="W579" s="596">
        <v>31747300</v>
      </c>
      <c r="X579" s="596">
        <v>22676642.857142858</v>
      </c>
      <c r="Y579" s="596">
        <v>18674882.352941178</v>
      </c>
      <c r="Z579" s="596">
        <f t="shared" si="165"/>
        <v>17735011.818181816</v>
      </c>
      <c r="AA579" s="580">
        <f t="shared" si="165"/>
        <v>14071861.818181818</v>
      </c>
      <c r="AB579" s="596">
        <f t="shared" si="165"/>
        <v>14071861.818181818</v>
      </c>
      <c r="AC579" s="596">
        <f t="shared" si="165"/>
        <v>12697819.058355438</v>
      </c>
      <c r="AD579" s="596">
        <f t="shared" si="165"/>
        <v>11671505.48076923</v>
      </c>
      <c r="AE579" s="596">
        <f t="shared" si="165"/>
        <v>11660644.819004524</v>
      </c>
      <c r="AF579" s="839"/>
      <c r="AG579" s="829"/>
      <c r="AH579" s="823"/>
      <c r="AI579" s="823"/>
      <c r="AJ579" s="823"/>
      <c r="AK579" s="807"/>
      <c r="AL579" s="807"/>
      <c r="AM579" s="807"/>
      <c r="AN579" s="807"/>
      <c r="AO579" s="807"/>
      <c r="AP579" s="807"/>
      <c r="AQ579" s="807"/>
      <c r="AR579" s="807"/>
      <c r="AS579" s="807"/>
      <c r="AT579" s="807"/>
      <c r="AU579" s="807"/>
      <c r="AV579" s="807"/>
      <c r="AW579" s="807"/>
      <c r="AX579" s="807"/>
      <c r="AY579" s="807"/>
    </row>
    <row r="580" spans="1:51" ht="19.149999999999999" customHeight="1" x14ac:dyDescent="0.25">
      <c r="A580" s="828"/>
      <c r="B580" s="822"/>
      <c r="C580" s="837" t="s">
        <v>789</v>
      </c>
      <c r="D580" s="572" t="s">
        <v>345</v>
      </c>
      <c r="E580" s="582"/>
      <c r="F580" s="582"/>
      <c r="G580" s="597"/>
      <c r="H580" s="597">
        <v>1</v>
      </c>
      <c r="I580" s="596">
        <v>2</v>
      </c>
      <c r="J580" s="596">
        <v>3</v>
      </c>
      <c r="K580" s="621">
        <v>3</v>
      </c>
      <c r="L580" s="596">
        <v>3</v>
      </c>
      <c r="M580" s="596">
        <v>4</v>
      </c>
      <c r="N580" s="596">
        <v>4</v>
      </c>
      <c r="O580" s="596">
        <v>4</v>
      </c>
      <c r="P580" s="596">
        <v>4</v>
      </c>
      <c r="Q580" s="596">
        <v>5</v>
      </c>
      <c r="R580" s="596">
        <v>5</v>
      </c>
      <c r="S580" s="596"/>
      <c r="T580" s="593"/>
      <c r="U580" s="596">
        <v>1</v>
      </c>
      <c r="V580" s="596">
        <v>2</v>
      </c>
      <c r="W580" s="596">
        <v>3</v>
      </c>
      <c r="X580" s="596">
        <v>3</v>
      </c>
      <c r="Y580" s="596">
        <v>3</v>
      </c>
      <c r="Z580" s="596">
        <f t="shared" si="165"/>
        <v>4</v>
      </c>
      <c r="AA580" s="580">
        <f t="shared" si="165"/>
        <v>4</v>
      </c>
      <c r="AB580" s="596">
        <f t="shared" si="165"/>
        <v>4</v>
      </c>
      <c r="AC580" s="596">
        <f t="shared" si="165"/>
        <v>4</v>
      </c>
      <c r="AD580" s="596">
        <f t="shared" si="165"/>
        <v>5</v>
      </c>
      <c r="AE580" s="596">
        <f t="shared" si="165"/>
        <v>5</v>
      </c>
      <c r="AF580" s="852" t="s">
        <v>862</v>
      </c>
      <c r="AG580" s="853" t="s">
        <v>863</v>
      </c>
      <c r="AH580" s="849" t="s">
        <v>864</v>
      </c>
      <c r="AI580" s="849" t="s">
        <v>865</v>
      </c>
      <c r="AJ580" s="849" t="s">
        <v>866</v>
      </c>
      <c r="AK580" s="850" t="s">
        <v>490</v>
      </c>
      <c r="AL580" s="851" t="s">
        <v>765</v>
      </c>
      <c r="AM580" s="851" t="s">
        <v>752</v>
      </c>
      <c r="AN580" s="848">
        <v>817019</v>
      </c>
      <c r="AO580" s="848">
        <v>387428</v>
      </c>
      <c r="AP580" s="848">
        <v>429591</v>
      </c>
      <c r="AQ580" s="845" t="s">
        <v>492</v>
      </c>
      <c r="AR580" s="845" t="s">
        <v>492</v>
      </c>
      <c r="AS580" s="845" t="s">
        <v>492</v>
      </c>
      <c r="AT580" s="845" t="s">
        <v>492</v>
      </c>
      <c r="AU580" s="845" t="s">
        <v>492</v>
      </c>
      <c r="AV580" s="845" t="s">
        <v>492</v>
      </c>
      <c r="AW580" s="845" t="s">
        <v>492</v>
      </c>
      <c r="AX580" s="847">
        <v>817019</v>
      </c>
      <c r="AY580" s="845" t="s">
        <v>837</v>
      </c>
    </row>
    <row r="581" spans="1:51" ht="19.149999999999999" customHeight="1" x14ac:dyDescent="0.25">
      <c r="A581" s="828"/>
      <c r="B581" s="822"/>
      <c r="C581" s="838"/>
      <c r="D581" s="578" t="s">
        <v>349</v>
      </c>
      <c r="E581" s="582"/>
      <c r="F581" s="582"/>
      <c r="G581" s="597"/>
      <c r="H581" s="582">
        <v>58666000</v>
      </c>
      <c r="I581" s="580">
        <v>39110666.666666664</v>
      </c>
      <c r="J581" s="580">
        <v>95241900</v>
      </c>
      <c r="K581" s="580">
        <v>68029928.571428567</v>
      </c>
      <c r="L581" s="580">
        <v>56024647.058823526</v>
      </c>
      <c r="M581" s="580">
        <f>+M580*$Z$533/$Z$532</f>
        <v>63494600</v>
      </c>
      <c r="N581" s="580">
        <f>+N580*$AA$533/$AA$532</f>
        <v>48842000</v>
      </c>
      <c r="O581" s="580">
        <f>+O580*$AB$533/$AB$532</f>
        <v>48842000</v>
      </c>
      <c r="P581" s="580">
        <f>+P580*$AC$533/$AC$532</f>
        <v>43789379.31034483</v>
      </c>
      <c r="Q581" s="580">
        <f>+Q580*$AD$533/$AD$532</f>
        <v>49605156.25</v>
      </c>
      <c r="R581" s="580">
        <f>+R580*$AE$533/$AE$532</f>
        <v>49550852.941176474</v>
      </c>
      <c r="S581" s="580"/>
      <c r="T581" s="596"/>
      <c r="U581" s="596">
        <v>58666000</v>
      </c>
      <c r="V581" s="596">
        <v>39110666.666666664</v>
      </c>
      <c r="W581" s="596">
        <v>95241900</v>
      </c>
      <c r="X581" s="596">
        <v>68029928.571428567</v>
      </c>
      <c r="Y581" s="596">
        <v>56024647.058823526</v>
      </c>
      <c r="Z581" s="596">
        <f t="shared" si="165"/>
        <v>63494600</v>
      </c>
      <c r="AA581" s="580">
        <f t="shared" si="165"/>
        <v>48842000</v>
      </c>
      <c r="AB581" s="596">
        <f t="shared" si="165"/>
        <v>48842000</v>
      </c>
      <c r="AC581" s="596">
        <f t="shared" si="165"/>
        <v>43789379.31034483</v>
      </c>
      <c r="AD581" s="596">
        <f t="shared" si="165"/>
        <v>49605156.25</v>
      </c>
      <c r="AE581" s="580">
        <f t="shared" si="165"/>
        <v>49550852.941176474</v>
      </c>
      <c r="AF581" s="838"/>
      <c r="AG581" s="828"/>
      <c r="AH581" s="822"/>
      <c r="AI581" s="822"/>
      <c r="AJ581" s="822"/>
      <c r="AK581" s="806"/>
      <c r="AL581" s="806"/>
      <c r="AM581" s="806"/>
      <c r="AN581" s="806"/>
      <c r="AO581" s="806"/>
      <c r="AP581" s="806"/>
      <c r="AQ581" s="806"/>
      <c r="AR581" s="806"/>
      <c r="AS581" s="806"/>
      <c r="AT581" s="806"/>
      <c r="AU581" s="806"/>
      <c r="AV581" s="806"/>
      <c r="AW581" s="806"/>
      <c r="AX581" s="806"/>
      <c r="AY581" s="806"/>
    </row>
    <row r="582" spans="1:51" ht="28.9" customHeight="1" x14ac:dyDescent="0.25">
      <c r="A582" s="828"/>
      <c r="B582" s="822"/>
      <c r="C582" s="838"/>
      <c r="D582" s="579" t="s">
        <v>351</v>
      </c>
      <c r="E582" s="582"/>
      <c r="F582" s="582"/>
      <c r="G582" s="597"/>
      <c r="H582" s="597"/>
      <c r="I582" s="596"/>
      <c r="J582" s="596"/>
      <c r="K582" s="621"/>
      <c r="L582" s="596"/>
      <c r="M582" s="596"/>
      <c r="N582" s="596"/>
      <c r="O582" s="596"/>
      <c r="P582" s="596"/>
      <c r="Q582" s="596"/>
      <c r="R582" s="596"/>
      <c r="S582" s="596"/>
      <c r="T582" s="593"/>
      <c r="U582" s="596">
        <v>0</v>
      </c>
      <c r="V582" s="596">
        <v>0</v>
      </c>
      <c r="W582" s="596">
        <v>0</v>
      </c>
      <c r="X582" s="596">
        <v>0</v>
      </c>
      <c r="Y582" s="596">
        <v>0</v>
      </c>
      <c r="Z582" s="596">
        <f t="shared" si="165"/>
        <v>0</v>
      </c>
      <c r="AA582" s="580">
        <f t="shared" si="165"/>
        <v>0</v>
      </c>
      <c r="AB582" s="596">
        <f t="shared" si="165"/>
        <v>0</v>
      </c>
      <c r="AC582" s="596">
        <f t="shared" si="165"/>
        <v>0</v>
      </c>
      <c r="AD582" s="596">
        <f t="shared" si="165"/>
        <v>0</v>
      </c>
      <c r="AE582" s="596">
        <f t="shared" si="165"/>
        <v>0</v>
      </c>
      <c r="AF582" s="838"/>
      <c r="AG582" s="828"/>
      <c r="AH582" s="822"/>
      <c r="AI582" s="822"/>
      <c r="AJ582" s="822"/>
      <c r="AK582" s="806"/>
      <c r="AL582" s="806"/>
      <c r="AM582" s="806"/>
      <c r="AN582" s="806"/>
      <c r="AO582" s="806"/>
      <c r="AP582" s="806"/>
      <c r="AQ582" s="806"/>
      <c r="AR582" s="806"/>
      <c r="AS582" s="806"/>
      <c r="AT582" s="806"/>
      <c r="AU582" s="806"/>
      <c r="AV582" s="806"/>
      <c r="AW582" s="806"/>
      <c r="AX582" s="806"/>
      <c r="AY582" s="806"/>
    </row>
    <row r="583" spans="1:51" ht="28.9" customHeight="1" x14ac:dyDescent="0.25">
      <c r="A583" s="828"/>
      <c r="B583" s="822"/>
      <c r="C583" s="838"/>
      <c r="D583" s="578" t="s">
        <v>352</v>
      </c>
      <c r="E583" s="582"/>
      <c r="F583" s="582"/>
      <c r="G583" s="597"/>
      <c r="H583" s="597">
        <v>10182345.5</v>
      </c>
      <c r="I583" s="596">
        <v>1101298.057142857</v>
      </c>
      <c r="J583" s="596">
        <v>4072938.2</v>
      </c>
      <c r="K583" s="596">
        <v>4072938.2</v>
      </c>
      <c r="L583" s="596">
        <v>4072938.2</v>
      </c>
      <c r="M583" s="596">
        <v>1861361.8181818181</v>
      </c>
      <c r="N583" s="596">
        <v>1861361.8181818181</v>
      </c>
      <c r="O583" s="596">
        <v>1861361.8181818181</v>
      </c>
      <c r="P583" s="596">
        <v>1750474.2307692308</v>
      </c>
      <c r="Q583" s="596">
        <v>1750474.2307692308</v>
      </c>
      <c r="R583" s="596">
        <v>1750474.2307692308</v>
      </c>
      <c r="S583" s="596"/>
      <c r="T583" s="593"/>
      <c r="U583" s="596">
        <v>10182345.5</v>
      </c>
      <c r="V583" s="596">
        <v>1101298.057142857</v>
      </c>
      <c r="W583" s="596">
        <v>4072938.2</v>
      </c>
      <c r="X583" s="596">
        <v>4072938.2</v>
      </c>
      <c r="Y583" s="596">
        <v>4072938.2</v>
      </c>
      <c r="Z583" s="596">
        <f t="shared" si="165"/>
        <v>1861361.8181818181</v>
      </c>
      <c r="AA583" s="580">
        <f t="shared" si="165"/>
        <v>1861361.8181818181</v>
      </c>
      <c r="AB583" s="596">
        <f t="shared" si="165"/>
        <v>1861361.8181818181</v>
      </c>
      <c r="AC583" s="596">
        <f t="shared" si="165"/>
        <v>1750474.2307692308</v>
      </c>
      <c r="AD583" s="596">
        <f t="shared" si="165"/>
        <v>1750474.2307692308</v>
      </c>
      <c r="AE583" s="596">
        <f t="shared" si="165"/>
        <v>1750474.2307692308</v>
      </c>
      <c r="AF583" s="838"/>
      <c r="AG583" s="828"/>
      <c r="AH583" s="822"/>
      <c r="AI583" s="822"/>
      <c r="AJ583" s="822"/>
      <c r="AK583" s="806"/>
      <c r="AL583" s="806"/>
      <c r="AM583" s="806"/>
      <c r="AN583" s="806"/>
      <c r="AO583" s="806"/>
      <c r="AP583" s="806"/>
      <c r="AQ583" s="806"/>
      <c r="AR583" s="806"/>
      <c r="AS583" s="806"/>
      <c r="AT583" s="806"/>
      <c r="AU583" s="806"/>
      <c r="AV583" s="806"/>
      <c r="AW583" s="806"/>
      <c r="AX583" s="806"/>
      <c r="AY583" s="806"/>
    </row>
    <row r="584" spans="1:51" ht="28.9" customHeight="1" x14ac:dyDescent="0.25">
      <c r="A584" s="828"/>
      <c r="B584" s="822"/>
      <c r="C584" s="838"/>
      <c r="D584" s="579" t="s">
        <v>353</v>
      </c>
      <c r="E584" s="582"/>
      <c r="F584" s="582"/>
      <c r="G584" s="597"/>
      <c r="H584" s="597">
        <v>1</v>
      </c>
      <c r="I584" s="596">
        <v>2</v>
      </c>
      <c r="J584" s="596">
        <v>3</v>
      </c>
      <c r="K584" s="621">
        <v>3</v>
      </c>
      <c r="L584" s="596">
        <v>3</v>
      </c>
      <c r="M584" s="596">
        <v>4</v>
      </c>
      <c r="N584" s="596">
        <v>4</v>
      </c>
      <c r="O584" s="596">
        <v>4</v>
      </c>
      <c r="P584" s="596">
        <v>4</v>
      </c>
      <c r="Q584" s="596">
        <v>5</v>
      </c>
      <c r="R584" s="596">
        <v>5</v>
      </c>
      <c r="S584" s="596"/>
      <c r="T584" s="593"/>
      <c r="U584" s="596">
        <v>1</v>
      </c>
      <c r="V584" s="596">
        <v>2</v>
      </c>
      <c r="W584" s="596">
        <v>3</v>
      </c>
      <c r="X584" s="596">
        <v>3</v>
      </c>
      <c r="Y584" s="596">
        <v>3</v>
      </c>
      <c r="Z584" s="596">
        <f t="shared" si="165"/>
        <v>4</v>
      </c>
      <c r="AA584" s="580">
        <f t="shared" si="165"/>
        <v>4</v>
      </c>
      <c r="AB584" s="596">
        <f t="shared" si="165"/>
        <v>4</v>
      </c>
      <c r="AC584" s="596">
        <f t="shared" si="165"/>
        <v>4</v>
      </c>
      <c r="AD584" s="596">
        <f t="shared" si="165"/>
        <v>5</v>
      </c>
      <c r="AE584" s="596">
        <f t="shared" si="165"/>
        <v>5</v>
      </c>
      <c r="AF584" s="838"/>
      <c r="AG584" s="828"/>
      <c r="AH584" s="822"/>
      <c r="AI584" s="822"/>
      <c r="AJ584" s="822"/>
      <c r="AK584" s="806"/>
      <c r="AL584" s="806"/>
      <c r="AM584" s="806"/>
      <c r="AN584" s="806"/>
      <c r="AO584" s="806"/>
      <c r="AP584" s="806"/>
      <c r="AQ584" s="806"/>
      <c r="AR584" s="806"/>
      <c r="AS584" s="806"/>
      <c r="AT584" s="806"/>
      <c r="AU584" s="806"/>
      <c r="AV584" s="806"/>
      <c r="AW584" s="806"/>
      <c r="AX584" s="806"/>
      <c r="AY584" s="806"/>
    </row>
    <row r="585" spans="1:51" ht="28.9" customHeight="1" x14ac:dyDescent="0.25">
      <c r="A585" s="828"/>
      <c r="B585" s="822"/>
      <c r="C585" s="839"/>
      <c r="D585" s="578" t="s">
        <v>354</v>
      </c>
      <c r="E585" s="582"/>
      <c r="F585" s="582"/>
      <c r="G585" s="597"/>
      <c r="H585" s="583">
        <v>68848345.5</v>
      </c>
      <c r="I585" s="575">
        <v>40211964.723809518</v>
      </c>
      <c r="J585" s="575">
        <v>99314838.200000003</v>
      </c>
      <c r="K585" s="596">
        <v>72102866.77142857</v>
      </c>
      <c r="L585" s="575">
        <v>60097585.258823529</v>
      </c>
      <c r="M585" s="596">
        <f t="shared" ref="M585:R585" si="167">+M581+M583</f>
        <v>65355961.81818182</v>
      </c>
      <c r="N585" s="596">
        <f t="shared" si="167"/>
        <v>50703361.81818182</v>
      </c>
      <c r="O585" s="596">
        <f t="shared" si="167"/>
        <v>50703361.81818182</v>
      </c>
      <c r="P585" s="596">
        <f t="shared" si="167"/>
        <v>45539853.541114062</v>
      </c>
      <c r="Q585" s="596">
        <f t="shared" si="167"/>
        <v>51355630.480769232</v>
      </c>
      <c r="R585" s="596">
        <f t="shared" si="167"/>
        <v>51301327.171945706</v>
      </c>
      <c r="S585" s="596"/>
      <c r="T585" s="596"/>
      <c r="U585" s="596">
        <v>68848345.5</v>
      </c>
      <c r="V585" s="596">
        <v>40211964.723809518</v>
      </c>
      <c r="W585" s="596">
        <v>99314838.200000003</v>
      </c>
      <c r="X585" s="596">
        <v>72102866.77142857</v>
      </c>
      <c r="Y585" s="596">
        <v>60097585.258823529</v>
      </c>
      <c r="Z585" s="596">
        <f t="shared" si="165"/>
        <v>65355961.81818182</v>
      </c>
      <c r="AA585" s="580">
        <f t="shared" si="165"/>
        <v>50703361.81818182</v>
      </c>
      <c r="AB585" s="596">
        <f t="shared" si="165"/>
        <v>50703361.81818182</v>
      </c>
      <c r="AC585" s="596">
        <f t="shared" si="165"/>
        <v>45539853.541114062</v>
      </c>
      <c r="AD585" s="596">
        <f t="shared" si="165"/>
        <v>51355630.480769232</v>
      </c>
      <c r="AE585" s="596">
        <f t="shared" si="165"/>
        <v>51301327.171945706</v>
      </c>
      <c r="AF585" s="839"/>
      <c r="AG585" s="829"/>
      <c r="AH585" s="823"/>
      <c r="AI585" s="823"/>
      <c r="AJ585" s="823"/>
      <c r="AK585" s="807"/>
      <c r="AL585" s="807"/>
      <c r="AM585" s="807"/>
      <c r="AN585" s="807"/>
      <c r="AO585" s="807"/>
      <c r="AP585" s="807"/>
      <c r="AQ585" s="807"/>
      <c r="AR585" s="807"/>
      <c r="AS585" s="807"/>
      <c r="AT585" s="807"/>
      <c r="AU585" s="807"/>
      <c r="AV585" s="807"/>
      <c r="AW585" s="807"/>
      <c r="AX585" s="807"/>
      <c r="AY585" s="807"/>
    </row>
    <row r="586" spans="1:51" ht="19.149999999999999" customHeight="1" x14ac:dyDescent="0.25">
      <c r="A586" s="828"/>
      <c r="B586" s="822"/>
      <c r="C586" s="837" t="s">
        <v>794</v>
      </c>
      <c r="D586" s="572" t="s">
        <v>345</v>
      </c>
      <c r="E586" s="582"/>
      <c r="F586" s="582"/>
      <c r="G586" s="597"/>
      <c r="H586" s="583"/>
      <c r="I586" s="575">
        <v>1</v>
      </c>
      <c r="J586" s="596">
        <v>1</v>
      </c>
      <c r="K586" s="621">
        <v>2</v>
      </c>
      <c r="L586" s="596">
        <v>3</v>
      </c>
      <c r="M586" s="596">
        <v>3</v>
      </c>
      <c r="N586" s="596">
        <v>3</v>
      </c>
      <c r="O586" s="596">
        <v>3</v>
      </c>
      <c r="P586" s="596">
        <v>4</v>
      </c>
      <c r="Q586" s="596">
        <v>5</v>
      </c>
      <c r="R586" s="596">
        <v>5</v>
      </c>
      <c r="S586" s="596"/>
      <c r="T586" s="596"/>
      <c r="U586" s="575"/>
      <c r="V586" s="596">
        <v>1</v>
      </c>
      <c r="W586" s="596">
        <v>1</v>
      </c>
      <c r="X586" s="596">
        <v>2</v>
      </c>
      <c r="Y586" s="596">
        <v>3</v>
      </c>
      <c r="Z586" s="596">
        <f t="shared" si="165"/>
        <v>3</v>
      </c>
      <c r="AA586" s="580">
        <f t="shared" si="165"/>
        <v>3</v>
      </c>
      <c r="AB586" s="596">
        <f t="shared" si="165"/>
        <v>3</v>
      </c>
      <c r="AC586" s="596">
        <f t="shared" si="165"/>
        <v>4</v>
      </c>
      <c r="AD586" s="596">
        <f t="shared" si="165"/>
        <v>5</v>
      </c>
      <c r="AE586" s="596">
        <f t="shared" si="165"/>
        <v>5</v>
      </c>
      <c r="AF586" s="852" t="s">
        <v>867</v>
      </c>
      <c r="AG586" s="853" t="s">
        <v>868</v>
      </c>
      <c r="AH586" s="849" t="s">
        <v>869</v>
      </c>
      <c r="AI586" s="849" t="s">
        <v>870</v>
      </c>
      <c r="AJ586" s="849" t="s">
        <v>866</v>
      </c>
      <c r="AK586" s="851" t="s">
        <v>490</v>
      </c>
      <c r="AL586" s="851" t="s">
        <v>765</v>
      </c>
      <c r="AM586" s="851" t="s">
        <v>752</v>
      </c>
      <c r="AN586" s="851">
        <v>1294358</v>
      </c>
      <c r="AO586" s="851">
        <v>610618</v>
      </c>
      <c r="AP586" s="851">
        <v>683740</v>
      </c>
      <c r="AQ586" s="845" t="s">
        <v>492</v>
      </c>
      <c r="AR586" s="845" t="s">
        <v>492</v>
      </c>
      <c r="AS586" s="845" t="s">
        <v>492</v>
      </c>
      <c r="AT586" s="845" t="s">
        <v>492</v>
      </c>
      <c r="AU586" s="845" t="s">
        <v>492</v>
      </c>
      <c r="AV586" s="845" t="s">
        <v>492</v>
      </c>
      <c r="AW586" s="845" t="s">
        <v>492</v>
      </c>
      <c r="AX586" s="854">
        <v>1294358</v>
      </c>
      <c r="AY586" s="845" t="s">
        <v>837</v>
      </c>
    </row>
    <row r="587" spans="1:51" ht="19.149999999999999" customHeight="1" x14ac:dyDescent="0.25">
      <c r="A587" s="828"/>
      <c r="B587" s="822"/>
      <c r="C587" s="838"/>
      <c r="D587" s="578" t="s">
        <v>349</v>
      </c>
      <c r="E587" s="582"/>
      <c r="F587" s="582"/>
      <c r="G587" s="597"/>
      <c r="H587" s="583"/>
      <c r="I587" s="580">
        <v>19555333.333333332</v>
      </c>
      <c r="J587" s="580">
        <v>31747300</v>
      </c>
      <c r="K587" s="580">
        <v>45353285.714285716</v>
      </c>
      <c r="L587" s="580">
        <v>56024647.058823526</v>
      </c>
      <c r="M587" s="580">
        <f>+M586*$Z$533/$Z$532</f>
        <v>47620950</v>
      </c>
      <c r="N587" s="580">
        <f>+N586*$AA$533/$AA$532</f>
        <v>36631500</v>
      </c>
      <c r="O587" s="580">
        <f>+O586*$AB$533/$AB$532</f>
        <v>36631500</v>
      </c>
      <c r="P587" s="580">
        <f>+P586*$AC$533/$AC$532</f>
        <v>43789379.31034483</v>
      </c>
      <c r="Q587" s="580">
        <f>+Q586*$AD$533/$AD$532</f>
        <v>49605156.25</v>
      </c>
      <c r="R587" s="580">
        <f>+R586*$AE$533/$AE$532</f>
        <v>49550852.941176474</v>
      </c>
      <c r="S587" s="580"/>
      <c r="T587" s="596"/>
      <c r="U587" s="575"/>
      <c r="V587" s="596">
        <v>19555333.333333332</v>
      </c>
      <c r="W587" s="596">
        <v>31747300</v>
      </c>
      <c r="X587" s="596">
        <v>45353285.714285716</v>
      </c>
      <c r="Y587" s="596">
        <v>56024647.058823526</v>
      </c>
      <c r="Z587" s="596">
        <f t="shared" si="165"/>
        <v>47620950</v>
      </c>
      <c r="AA587" s="580">
        <f t="shared" si="165"/>
        <v>36631500</v>
      </c>
      <c r="AB587" s="596">
        <f t="shared" si="165"/>
        <v>36631500</v>
      </c>
      <c r="AC587" s="596">
        <f t="shared" si="165"/>
        <v>43789379.31034483</v>
      </c>
      <c r="AD587" s="596">
        <f t="shared" si="165"/>
        <v>49605156.25</v>
      </c>
      <c r="AE587" s="580">
        <f t="shared" si="165"/>
        <v>49550852.941176474</v>
      </c>
      <c r="AF587" s="838"/>
      <c r="AG587" s="828"/>
      <c r="AH587" s="822"/>
      <c r="AI587" s="822"/>
      <c r="AJ587" s="822"/>
      <c r="AK587" s="806"/>
      <c r="AL587" s="806"/>
      <c r="AM587" s="806"/>
      <c r="AN587" s="806"/>
      <c r="AO587" s="806"/>
      <c r="AP587" s="806"/>
      <c r="AQ587" s="806"/>
      <c r="AR587" s="806"/>
      <c r="AS587" s="806"/>
      <c r="AT587" s="806"/>
      <c r="AU587" s="806"/>
      <c r="AV587" s="806"/>
      <c r="AW587" s="806"/>
      <c r="AX587" s="806"/>
      <c r="AY587" s="806"/>
    </row>
    <row r="588" spans="1:51" ht="28.9" customHeight="1" x14ac:dyDescent="0.25">
      <c r="A588" s="828"/>
      <c r="B588" s="822"/>
      <c r="C588" s="838"/>
      <c r="D588" s="579" t="s">
        <v>351</v>
      </c>
      <c r="E588" s="582"/>
      <c r="F588" s="582"/>
      <c r="G588" s="597"/>
      <c r="H588" s="583"/>
      <c r="I588" s="575"/>
      <c r="J588" s="596"/>
      <c r="K588" s="621"/>
      <c r="L588" s="596"/>
      <c r="M588" s="596"/>
      <c r="N588" s="596"/>
      <c r="O588" s="596"/>
      <c r="P588" s="596"/>
      <c r="Q588" s="596"/>
      <c r="R588" s="596"/>
      <c r="S588" s="596"/>
      <c r="T588" s="596"/>
      <c r="U588" s="575"/>
      <c r="V588" s="596">
        <v>0</v>
      </c>
      <c r="W588" s="596">
        <v>0</v>
      </c>
      <c r="X588" s="596">
        <v>0</v>
      </c>
      <c r="Y588" s="596">
        <v>0</v>
      </c>
      <c r="Z588" s="596">
        <f t="shared" si="165"/>
        <v>0</v>
      </c>
      <c r="AA588" s="580">
        <f t="shared" si="165"/>
        <v>0</v>
      </c>
      <c r="AB588" s="596">
        <f t="shared" si="165"/>
        <v>0</v>
      </c>
      <c r="AC588" s="596">
        <f t="shared" si="165"/>
        <v>0</v>
      </c>
      <c r="AD588" s="596">
        <f t="shared" si="165"/>
        <v>0</v>
      </c>
      <c r="AE588" s="596">
        <f t="shared" si="165"/>
        <v>0</v>
      </c>
      <c r="AF588" s="838"/>
      <c r="AG588" s="828"/>
      <c r="AH588" s="822"/>
      <c r="AI588" s="822"/>
      <c r="AJ588" s="822"/>
      <c r="AK588" s="806"/>
      <c r="AL588" s="806"/>
      <c r="AM588" s="806"/>
      <c r="AN588" s="806"/>
      <c r="AO588" s="806"/>
      <c r="AP588" s="806"/>
      <c r="AQ588" s="806"/>
      <c r="AR588" s="806"/>
      <c r="AS588" s="806"/>
      <c r="AT588" s="806"/>
      <c r="AU588" s="806"/>
      <c r="AV588" s="806"/>
      <c r="AW588" s="806"/>
      <c r="AX588" s="806"/>
      <c r="AY588" s="806"/>
    </row>
    <row r="589" spans="1:51" ht="28.9" customHeight="1" x14ac:dyDescent="0.25">
      <c r="A589" s="828"/>
      <c r="B589" s="822"/>
      <c r="C589" s="838"/>
      <c r="D589" s="578" t="s">
        <v>352</v>
      </c>
      <c r="E589" s="582"/>
      <c r="F589" s="582"/>
      <c r="G589" s="597"/>
      <c r="H589" s="583"/>
      <c r="I589" s="596">
        <v>1101298.057142857</v>
      </c>
      <c r="J589" s="596">
        <v>4072938.2</v>
      </c>
      <c r="K589" s="596">
        <v>4072938.2</v>
      </c>
      <c r="L589" s="596">
        <v>4072938.2</v>
      </c>
      <c r="M589" s="596">
        <v>1861361.8181818181</v>
      </c>
      <c r="N589" s="596">
        <v>1861361.8181818181</v>
      </c>
      <c r="O589" s="596">
        <v>1861361.8181818181</v>
      </c>
      <c r="P589" s="596">
        <v>1750474.2307692308</v>
      </c>
      <c r="Q589" s="596">
        <v>1750474.2307692308</v>
      </c>
      <c r="R589" s="596">
        <v>1750474.2307692308</v>
      </c>
      <c r="S589" s="596"/>
      <c r="T589" s="596"/>
      <c r="U589" s="575"/>
      <c r="V589" s="596">
        <v>1101298.057142857</v>
      </c>
      <c r="W589" s="596">
        <v>4072938.2</v>
      </c>
      <c r="X589" s="596">
        <v>4072938.2</v>
      </c>
      <c r="Y589" s="596">
        <v>4072938.2</v>
      </c>
      <c r="Z589" s="596">
        <f t="shared" si="165"/>
        <v>1861361.8181818181</v>
      </c>
      <c r="AA589" s="580">
        <f t="shared" si="165"/>
        <v>1861361.8181818181</v>
      </c>
      <c r="AB589" s="596">
        <f t="shared" si="165"/>
        <v>1861361.8181818181</v>
      </c>
      <c r="AC589" s="596">
        <f t="shared" si="165"/>
        <v>1750474.2307692308</v>
      </c>
      <c r="AD589" s="596">
        <f t="shared" si="165"/>
        <v>1750474.2307692308</v>
      </c>
      <c r="AE589" s="596">
        <f t="shared" si="165"/>
        <v>1750474.2307692308</v>
      </c>
      <c r="AF589" s="838"/>
      <c r="AG589" s="828"/>
      <c r="AH589" s="822"/>
      <c r="AI589" s="822"/>
      <c r="AJ589" s="822"/>
      <c r="AK589" s="806"/>
      <c r="AL589" s="806"/>
      <c r="AM589" s="806"/>
      <c r="AN589" s="806"/>
      <c r="AO589" s="806"/>
      <c r="AP589" s="806"/>
      <c r="AQ589" s="806"/>
      <c r="AR589" s="806"/>
      <c r="AS589" s="806"/>
      <c r="AT589" s="806"/>
      <c r="AU589" s="806"/>
      <c r="AV589" s="806"/>
      <c r="AW589" s="806"/>
      <c r="AX589" s="806"/>
      <c r="AY589" s="806"/>
    </row>
    <row r="590" spans="1:51" ht="28.9" customHeight="1" x14ac:dyDescent="0.25">
      <c r="A590" s="828"/>
      <c r="B590" s="822"/>
      <c r="C590" s="838"/>
      <c r="D590" s="579" t="s">
        <v>353</v>
      </c>
      <c r="E590" s="582"/>
      <c r="F590" s="582"/>
      <c r="G590" s="597"/>
      <c r="H590" s="583"/>
      <c r="I590" s="575">
        <v>1</v>
      </c>
      <c r="J590" s="596">
        <v>1</v>
      </c>
      <c r="K590" s="621">
        <v>2</v>
      </c>
      <c r="L590" s="596">
        <v>3</v>
      </c>
      <c r="M590" s="596">
        <v>3</v>
      </c>
      <c r="N590" s="596">
        <v>3</v>
      </c>
      <c r="O590" s="596">
        <v>3</v>
      </c>
      <c r="P590" s="596">
        <v>4</v>
      </c>
      <c r="Q590" s="596">
        <v>5</v>
      </c>
      <c r="R590" s="596">
        <v>5</v>
      </c>
      <c r="S590" s="596"/>
      <c r="T590" s="596"/>
      <c r="U590" s="575"/>
      <c r="V590" s="596">
        <v>1</v>
      </c>
      <c r="W590" s="596">
        <v>1</v>
      </c>
      <c r="X590" s="596">
        <v>2</v>
      </c>
      <c r="Y590" s="596">
        <v>3</v>
      </c>
      <c r="Z590" s="596">
        <f t="shared" si="165"/>
        <v>3</v>
      </c>
      <c r="AA590" s="580">
        <f t="shared" si="165"/>
        <v>3</v>
      </c>
      <c r="AB590" s="596">
        <f t="shared" si="165"/>
        <v>3</v>
      </c>
      <c r="AC590" s="596">
        <f t="shared" si="165"/>
        <v>4</v>
      </c>
      <c r="AD590" s="596">
        <f t="shared" si="165"/>
        <v>5</v>
      </c>
      <c r="AE590" s="596">
        <f t="shared" si="165"/>
        <v>5</v>
      </c>
      <c r="AF590" s="838"/>
      <c r="AG590" s="828"/>
      <c r="AH590" s="822"/>
      <c r="AI590" s="822"/>
      <c r="AJ590" s="822"/>
      <c r="AK590" s="806"/>
      <c r="AL590" s="806"/>
      <c r="AM590" s="806"/>
      <c r="AN590" s="806"/>
      <c r="AO590" s="806"/>
      <c r="AP590" s="806"/>
      <c r="AQ590" s="806"/>
      <c r="AR590" s="806"/>
      <c r="AS590" s="806"/>
      <c r="AT590" s="806"/>
      <c r="AU590" s="806"/>
      <c r="AV590" s="806"/>
      <c r="AW590" s="806"/>
      <c r="AX590" s="806"/>
      <c r="AY590" s="806"/>
    </row>
    <row r="591" spans="1:51" ht="28.9" customHeight="1" x14ac:dyDescent="0.25">
      <c r="A591" s="828"/>
      <c r="B591" s="822"/>
      <c r="C591" s="839"/>
      <c r="D591" s="578" t="s">
        <v>354</v>
      </c>
      <c r="E591" s="582"/>
      <c r="F591" s="582"/>
      <c r="G591" s="597"/>
      <c r="H591" s="583"/>
      <c r="I591" s="575">
        <v>20656631.39047619</v>
      </c>
      <c r="J591" s="575">
        <v>35820238.200000003</v>
      </c>
      <c r="K591" s="596">
        <v>49426223.914285719</v>
      </c>
      <c r="L591" s="575">
        <v>60097585.258823529</v>
      </c>
      <c r="M591" s="596">
        <f t="shared" ref="M591:R591" si="168">+M587+M589</f>
        <v>49482311.81818182</v>
      </c>
      <c r="N591" s="596">
        <f t="shared" si="168"/>
        <v>38492861.81818182</v>
      </c>
      <c r="O591" s="596">
        <f t="shared" si="168"/>
        <v>38492861.81818182</v>
      </c>
      <c r="P591" s="596">
        <f t="shared" si="168"/>
        <v>45539853.541114062</v>
      </c>
      <c r="Q591" s="596">
        <f t="shared" si="168"/>
        <v>51355630.480769232</v>
      </c>
      <c r="R591" s="596">
        <f t="shared" si="168"/>
        <v>51301327.171945706</v>
      </c>
      <c r="S591" s="596"/>
      <c r="T591" s="596"/>
      <c r="U591" s="575"/>
      <c r="V591" s="596">
        <v>20656631.39047619</v>
      </c>
      <c r="W591" s="596">
        <v>35820238.200000003</v>
      </c>
      <c r="X591" s="596">
        <v>49426223.914285719</v>
      </c>
      <c r="Y591" s="596">
        <v>60097585.258823529</v>
      </c>
      <c r="Z591" s="596">
        <f t="shared" si="165"/>
        <v>49482311.81818182</v>
      </c>
      <c r="AA591" s="580">
        <f t="shared" si="165"/>
        <v>38492861.81818182</v>
      </c>
      <c r="AB591" s="596">
        <f t="shared" si="165"/>
        <v>38492861.81818182</v>
      </c>
      <c r="AC591" s="596">
        <f t="shared" si="165"/>
        <v>45539853.541114062</v>
      </c>
      <c r="AD591" s="596">
        <f t="shared" si="165"/>
        <v>51355630.480769232</v>
      </c>
      <c r="AE591" s="596">
        <f t="shared" si="165"/>
        <v>51301327.171945706</v>
      </c>
      <c r="AF591" s="839"/>
      <c r="AG591" s="829"/>
      <c r="AH591" s="823"/>
      <c r="AI591" s="823"/>
      <c r="AJ591" s="823"/>
      <c r="AK591" s="807"/>
      <c r="AL591" s="807"/>
      <c r="AM591" s="807"/>
      <c r="AN591" s="807"/>
      <c r="AO591" s="807"/>
      <c r="AP591" s="807"/>
      <c r="AQ591" s="807"/>
      <c r="AR591" s="807"/>
      <c r="AS591" s="807"/>
      <c r="AT591" s="807"/>
      <c r="AU591" s="807"/>
      <c r="AV591" s="807"/>
      <c r="AW591" s="807"/>
      <c r="AX591" s="807"/>
      <c r="AY591" s="807"/>
    </row>
    <row r="592" spans="1:51" ht="19.149999999999999" customHeight="1" x14ac:dyDescent="0.25">
      <c r="A592" s="828"/>
      <c r="B592" s="822"/>
      <c r="C592" s="837" t="s">
        <v>649</v>
      </c>
      <c r="D592" s="572" t="s">
        <v>345</v>
      </c>
      <c r="E592" s="582"/>
      <c r="F592" s="582"/>
      <c r="G592" s="597"/>
      <c r="H592" s="597"/>
      <c r="I592" s="596"/>
      <c r="J592" s="596"/>
      <c r="K592" s="621">
        <v>1</v>
      </c>
      <c r="L592" s="596">
        <v>1</v>
      </c>
      <c r="M592" s="596">
        <v>1</v>
      </c>
      <c r="N592" s="580">
        <v>1</v>
      </c>
      <c r="O592" s="596">
        <v>1</v>
      </c>
      <c r="P592" s="596">
        <v>1</v>
      </c>
      <c r="Q592" s="596">
        <v>1</v>
      </c>
      <c r="R592" s="596">
        <v>1</v>
      </c>
      <c r="S592" s="596"/>
      <c r="T592" s="593"/>
      <c r="U592" s="596"/>
      <c r="V592" s="596">
        <v>0</v>
      </c>
      <c r="W592" s="596">
        <v>0</v>
      </c>
      <c r="X592" s="596">
        <v>1</v>
      </c>
      <c r="Y592" s="596">
        <v>1</v>
      </c>
      <c r="Z592" s="596">
        <f t="shared" si="165"/>
        <v>1</v>
      </c>
      <c r="AA592" s="580">
        <f t="shared" si="165"/>
        <v>1</v>
      </c>
      <c r="AB592" s="596">
        <f t="shared" si="165"/>
        <v>1</v>
      </c>
      <c r="AC592" s="596">
        <f t="shared" si="165"/>
        <v>1</v>
      </c>
      <c r="AD592" s="596">
        <f t="shared" si="165"/>
        <v>1</v>
      </c>
      <c r="AE592" s="596">
        <f t="shared" si="165"/>
        <v>1</v>
      </c>
      <c r="AF592" s="859" t="s">
        <v>871</v>
      </c>
      <c r="AG592" s="853" t="s">
        <v>872</v>
      </c>
      <c r="AH592" s="849" t="s">
        <v>873</v>
      </c>
      <c r="AI592" s="849" t="s">
        <v>874</v>
      </c>
      <c r="AJ592" s="849" t="s">
        <v>849</v>
      </c>
      <c r="AK592" s="850" t="s">
        <v>490</v>
      </c>
      <c r="AL592" s="851" t="s">
        <v>765</v>
      </c>
      <c r="AM592" s="851" t="s">
        <v>752</v>
      </c>
      <c r="AN592" s="851">
        <v>153342</v>
      </c>
      <c r="AO592" s="851">
        <v>75950</v>
      </c>
      <c r="AP592" s="858">
        <v>77392</v>
      </c>
      <c r="AQ592" s="845" t="s">
        <v>492</v>
      </c>
      <c r="AR592" s="845" t="s">
        <v>492</v>
      </c>
      <c r="AS592" s="845" t="s">
        <v>492</v>
      </c>
      <c r="AT592" s="845" t="s">
        <v>492</v>
      </c>
      <c r="AU592" s="845" t="s">
        <v>492</v>
      </c>
      <c r="AV592" s="845" t="s">
        <v>492</v>
      </c>
      <c r="AW592" s="845" t="s">
        <v>492</v>
      </c>
      <c r="AX592" s="854">
        <v>153342</v>
      </c>
      <c r="AY592" s="845" t="s">
        <v>837</v>
      </c>
    </row>
    <row r="593" spans="1:51" ht="19.149999999999999" customHeight="1" x14ac:dyDescent="0.25">
      <c r="A593" s="828"/>
      <c r="B593" s="822"/>
      <c r="C593" s="838"/>
      <c r="D593" s="578" t="s">
        <v>349</v>
      </c>
      <c r="E593" s="582"/>
      <c r="F593" s="582"/>
      <c r="G593" s="597"/>
      <c r="H593" s="597"/>
      <c r="I593" s="596"/>
      <c r="J593" s="596"/>
      <c r="K593" s="580">
        <v>22676642.857142858</v>
      </c>
      <c r="L593" s="580">
        <v>18674882.352941178</v>
      </c>
      <c r="M593" s="580">
        <f>+M592*$Z$533/$Z$532</f>
        <v>15873650</v>
      </c>
      <c r="N593" s="580">
        <f>+N592*$AA$533/$AA$532</f>
        <v>12210500</v>
      </c>
      <c r="O593" s="580">
        <f>+O592*$AB$533/$AB$532</f>
        <v>12210500</v>
      </c>
      <c r="P593" s="580">
        <f>+P592*$AC$533/$AC$532</f>
        <v>10947344.827586208</v>
      </c>
      <c r="Q593" s="580">
        <f>+Q592*$AD$533/$AD$532</f>
        <v>9921031.25</v>
      </c>
      <c r="R593" s="580">
        <f>+R592*$AE$533/$AE$532</f>
        <v>9910170.5882352944</v>
      </c>
      <c r="S593" s="580"/>
      <c r="T593" s="593"/>
      <c r="U593" s="596"/>
      <c r="V593" s="596">
        <v>0</v>
      </c>
      <c r="W593" s="596">
        <v>0</v>
      </c>
      <c r="X593" s="596">
        <v>22676642.857142858</v>
      </c>
      <c r="Y593" s="596">
        <v>18674882.352941178</v>
      </c>
      <c r="Z593" s="596">
        <f t="shared" si="165"/>
        <v>15873650</v>
      </c>
      <c r="AA593" s="580">
        <f t="shared" si="165"/>
        <v>12210500</v>
      </c>
      <c r="AB593" s="596">
        <f t="shared" si="165"/>
        <v>12210500</v>
      </c>
      <c r="AC593" s="596">
        <f t="shared" si="165"/>
        <v>10947344.827586208</v>
      </c>
      <c r="AD593" s="596">
        <f t="shared" si="165"/>
        <v>9921031.25</v>
      </c>
      <c r="AE593" s="580">
        <f t="shared" si="165"/>
        <v>9910170.5882352944</v>
      </c>
      <c r="AF593" s="822"/>
      <c r="AG593" s="828"/>
      <c r="AH593" s="822"/>
      <c r="AI593" s="822"/>
      <c r="AJ593" s="822"/>
      <c r="AK593" s="806"/>
      <c r="AL593" s="806"/>
      <c r="AM593" s="806"/>
      <c r="AN593" s="806"/>
      <c r="AO593" s="806"/>
      <c r="AP593" s="806"/>
      <c r="AQ593" s="806"/>
      <c r="AR593" s="806"/>
      <c r="AS593" s="806"/>
      <c r="AT593" s="806"/>
      <c r="AU593" s="806"/>
      <c r="AV593" s="806"/>
      <c r="AW593" s="806"/>
      <c r="AX593" s="806"/>
      <c r="AY593" s="806"/>
    </row>
    <row r="594" spans="1:51" ht="28.9" customHeight="1" x14ac:dyDescent="0.25">
      <c r="A594" s="828"/>
      <c r="B594" s="822"/>
      <c r="C594" s="838"/>
      <c r="D594" s="579" t="s">
        <v>351</v>
      </c>
      <c r="E594" s="582"/>
      <c r="F594" s="582"/>
      <c r="G594" s="597"/>
      <c r="H594" s="597"/>
      <c r="I594" s="596"/>
      <c r="J594" s="596"/>
      <c r="K594" s="621"/>
      <c r="L594" s="596"/>
      <c r="M594" s="596"/>
      <c r="N594" s="580"/>
      <c r="O594" s="596"/>
      <c r="P594" s="596"/>
      <c r="Q594" s="596"/>
      <c r="R594" s="596"/>
      <c r="S594" s="596"/>
      <c r="T594" s="593"/>
      <c r="U594" s="596"/>
      <c r="V594" s="596">
        <v>0</v>
      </c>
      <c r="W594" s="596">
        <v>0</v>
      </c>
      <c r="X594" s="596">
        <v>0</v>
      </c>
      <c r="Y594" s="596">
        <v>0</v>
      </c>
      <c r="Z594" s="596">
        <f t="shared" ref="Z594:AE609" si="169">+M594</f>
        <v>0</v>
      </c>
      <c r="AA594" s="580">
        <f t="shared" si="169"/>
        <v>0</v>
      </c>
      <c r="AB594" s="596">
        <f t="shared" si="169"/>
        <v>0</v>
      </c>
      <c r="AC594" s="596">
        <f t="shared" si="169"/>
        <v>0</v>
      </c>
      <c r="AD594" s="596">
        <f t="shared" si="169"/>
        <v>0</v>
      </c>
      <c r="AE594" s="596">
        <f t="shared" si="169"/>
        <v>0</v>
      </c>
      <c r="AF594" s="822"/>
      <c r="AG594" s="828"/>
      <c r="AH594" s="822"/>
      <c r="AI594" s="822"/>
      <c r="AJ594" s="822"/>
      <c r="AK594" s="806"/>
      <c r="AL594" s="806"/>
      <c r="AM594" s="806"/>
      <c r="AN594" s="806"/>
      <c r="AO594" s="806"/>
      <c r="AP594" s="806"/>
      <c r="AQ594" s="806"/>
      <c r="AR594" s="806"/>
      <c r="AS594" s="806"/>
      <c r="AT594" s="806"/>
      <c r="AU594" s="806"/>
      <c r="AV594" s="806"/>
      <c r="AW594" s="806"/>
      <c r="AX594" s="806"/>
      <c r="AY594" s="806"/>
    </row>
    <row r="595" spans="1:51" ht="28.9" customHeight="1" x14ac:dyDescent="0.25">
      <c r="A595" s="828"/>
      <c r="B595" s="822"/>
      <c r="C595" s="838"/>
      <c r="D595" s="578" t="s">
        <v>352</v>
      </c>
      <c r="E595" s="582"/>
      <c r="F595" s="582"/>
      <c r="G595" s="597"/>
      <c r="H595" s="597"/>
      <c r="I595" s="596"/>
      <c r="J595" s="596"/>
      <c r="K595" s="621"/>
      <c r="L595" s="596"/>
      <c r="M595" s="596">
        <v>1861361.8181818181</v>
      </c>
      <c r="N595" s="596">
        <v>1861361.8181818181</v>
      </c>
      <c r="O595" s="596">
        <v>1861361.8181818181</v>
      </c>
      <c r="P595" s="596">
        <v>1750474.2307692308</v>
      </c>
      <c r="Q595" s="596">
        <v>1750474.2307692308</v>
      </c>
      <c r="R595" s="596">
        <v>1750474.2307692308</v>
      </c>
      <c r="S595" s="596"/>
      <c r="T595" s="593"/>
      <c r="U595" s="596"/>
      <c r="V595" s="596">
        <v>0</v>
      </c>
      <c r="W595" s="596">
        <v>0</v>
      </c>
      <c r="X595" s="596">
        <v>0</v>
      </c>
      <c r="Y595" s="596">
        <v>0</v>
      </c>
      <c r="Z595" s="596">
        <f t="shared" si="169"/>
        <v>1861361.8181818181</v>
      </c>
      <c r="AA595" s="580">
        <f t="shared" si="169"/>
        <v>1861361.8181818181</v>
      </c>
      <c r="AB595" s="596">
        <f t="shared" si="169"/>
        <v>1861361.8181818181</v>
      </c>
      <c r="AC595" s="596">
        <f t="shared" si="169"/>
        <v>1750474.2307692308</v>
      </c>
      <c r="AD595" s="596">
        <f t="shared" si="169"/>
        <v>1750474.2307692308</v>
      </c>
      <c r="AE595" s="596">
        <f t="shared" si="169"/>
        <v>1750474.2307692308</v>
      </c>
      <c r="AF595" s="822"/>
      <c r="AG595" s="828"/>
      <c r="AH595" s="822"/>
      <c r="AI595" s="822"/>
      <c r="AJ595" s="822"/>
      <c r="AK595" s="806"/>
      <c r="AL595" s="806"/>
      <c r="AM595" s="806"/>
      <c r="AN595" s="806"/>
      <c r="AO595" s="806"/>
      <c r="AP595" s="806"/>
      <c r="AQ595" s="806"/>
      <c r="AR595" s="806"/>
      <c r="AS595" s="806"/>
      <c r="AT595" s="806"/>
      <c r="AU595" s="806"/>
      <c r="AV595" s="806"/>
      <c r="AW595" s="806"/>
      <c r="AX595" s="806"/>
      <c r="AY595" s="806"/>
    </row>
    <row r="596" spans="1:51" ht="28.9" customHeight="1" x14ac:dyDescent="0.25">
      <c r="A596" s="828"/>
      <c r="B596" s="822"/>
      <c r="C596" s="838"/>
      <c r="D596" s="579" t="s">
        <v>353</v>
      </c>
      <c r="E596" s="582"/>
      <c r="F596" s="582"/>
      <c r="G596" s="597"/>
      <c r="H596" s="597"/>
      <c r="I596" s="596"/>
      <c r="J596" s="596"/>
      <c r="K596" s="621">
        <v>1</v>
      </c>
      <c r="L596" s="596">
        <v>1</v>
      </c>
      <c r="M596" s="596">
        <v>1</v>
      </c>
      <c r="N596" s="580">
        <v>1</v>
      </c>
      <c r="O596" s="580">
        <v>1</v>
      </c>
      <c r="P596" s="596">
        <v>1</v>
      </c>
      <c r="Q596" s="596">
        <v>1</v>
      </c>
      <c r="R596" s="596">
        <v>1</v>
      </c>
      <c r="S596" s="596"/>
      <c r="T596" s="593"/>
      <c r="U596" s="596"/>
      <c r="V596" s="596">
        <v>0</v>
      </c>
      <c r="W596" s="596">
        <v>0</v>
      </c>
      <c r="X596" s="596">
        <v>1</v>
      </c>
      <c r="Y596" s="596">
        <v>1</v>
      </c>
      <c r="Z596" s="596">
        <f t="shared" si="169"/>
        <v>1</v>
      </c>
      <c r="AA596" s="580">
        <f t="shared" si="169"/>
        <v>1</v>
      </c>
      <c r="AB596" s="596">
        <f t="shared" si="169"/>
        <v>1</v>
      </c>
      <c r="AC596" s="596">
        <f t="shared" si="169"/>
        <v>1</v>
      </c>
      <c r="AD596" s="596">
        <f t="shared" si="169"/>
        <v>1</v>
      </c>
      <c r="AE596" s="596">
        <f t="shared" si="169"/>
        <v>1</v>
      </c>
      <c r="AF596" s="822"/>
      <c r="AG596" s="828"/>
      <c r="AH596" s="822"/>
      <c r="AI596" s="822"/>
      <c r="AJ596" s="822"/>
      <c r="AK596" s="806"/>
      <c r="AL596" s="806"/>
      <c r="AM596" s="806"/>
      <c r="AN596" s="806"/>
      <c r="AO596" s="806"/>
      <c r="AP596" s="806"/>
      <c r="AQ596" s="806"/>
      <c r="AR596" s="806"/>
      <c r="AS596" s="806"/>
      <c r="AT596" s="806"/>
      <c r="AU596" s="806"/>
      <c r="AV596" s="806"/>
      <c r="AW596" s="806"/>
      <c r="AX596" s="806"/>
      <c r="AY596" s="806"/>
    </row>
    <row r="597" spans="1:51" ht="28.9" customHeight="1" x14ac:dyDescent="0.25">
      <c r="A597" s="828"/>
      <c r="B597" s="822"/>
      <c r="C597" s="839"/>
      <c r="D597" s="578" t="s">
        <v>354</v>
      </c>
      <c r="E597" s="582"/>
      <c r="F597" s="582"/>
      <c r="G597" s="597"/>
      <c r="H597" s="597"/>
      <c r="I597" s="596"/>
      <c r="J597" s="596"/>
      <c r="K597" s="596">
        <v>22676642.857142858</v>
      </c>
      <c r="L597" s="575">
        <v>18674882.352941178</v>
      </c>
      <c r="M597" s="596">
        <f t="shared" ref="M597:R597" si="170">+M593+M595</f>
        <v>17735011.818181816</v>
      </c>
      <c r="N597" s="596">
        <f t="shared" si="170"/>
        <v>14071861.818181818</v>
      </c>
      <c r="O597" s="596">
        <f t="shared" si="170"/>
        <v>14071861.818181818</v>
      </c>
      <c r="P597" s="596">
        <f t="shared" si="170"/>
        <v>12697819.058355438</v>
      </c>
      <c r="Q597" s="596">
        <f t="shared" si="170"/>
        <v>11671505.48076923</v>
      </c>
      <c r="R597" s="596">
        <f t="shared" si="170"/>
        <v>11660644.819004524</v>
      </c>
      <c r="S597" s="596"/>
      <c r="T597" s="593"/>
      <c r="U597" s="596"/>
      <c r="V597" s="596">
        <v>0</v>
      </c>
      <c r="W597" s="596">
        <v>0</v>
      </c>
      <c r="X597" s="596">
        <v>22676642.857142858</v>
      </c>
      <c r="Y597" s="596">
        <v>18674882.352941178</v>
      </c>
      <c r="Z597" s="596">
        <f t="shared" si="169"/>
        <v>17735011.818181816</v>
      </c>
      <c r="AA597" s="580">
        <f t="shared" si="169"/>
        <v>14071861.818181818</v>
      </c>
      <c r="AB597" s="596">
        <f t="shared" si="169"/>
        <v>14071861.818181818</v>
      </c>
      <c r="AC597" s="596">
        <f t="shared" si="169"/>
        <v>12697819.058355438</v>
      </c>
      <c r="AD597" s="596">
        <f t="shared" si="169"/>
        <v>11671505.48076923</v>
      </c>
      <c r="AE597" s="596">
        <f t="shared" si="169"/>
        <v>11660644.819004524</v>
      </c>
      <c r="AF597" s="823"/>
      <c r="AG597" s="829"/>
      <c r="AH597" s="823"/>
      <c r="AI597" s="823"/>
      <c r="AJ597" s="823"/>
      <c r="AK597" s="807"/>
      <c r="AL597" s="807"/>
      <c r="AM597" s="807"/>
      <c r="AN597" s="807"/>
      <c r="AO597" s="807"/>
      <c r="AP597" s="807"/>
      <c r="AQ597" s="807"/>
      <c r="AR597" s="807"/>
      <c r="AS597" s="807"/>
      <c r="AT597" s="807"/>
      <c r="AU597" s="807"/>
      <c r="AV597" s="807"/>
      <c r="AW597" s="807"/>
      <c r="AX597" s="807"/>
      <c r="AY597" s="807"/>
    </row>
    <row r="598" spans="1:51" ht="19.149999999999999" customHeight="1" x14ac:dyDescent="0.25">
      <c r="A598" s="828"/>
      <c r="B598" s="822"/>
      <c r="C598" s="837" t="s">
        <v>576</v>
      </c>
      <c r="D598" s="572" t="s">
        <v>345</v>
      </c>
      <c r="E598" s="582"/>
      <c r="F598" s="582"/>
      <c r="G598" s="597"/>
      <c r="H598" s="597"/>
      <c r="I598" s="596">
        <v>1</v>
      </c>
      <c r="J598" s="596">
        <v>1</v>
      </c>
      <c r="K598" s="621">
        <v>1</v>
      </c>
      <c r="L598" s="596">
        <v>1</v>
      </c>
      <c r="M598" s="596">
        <v>1</v>
      </c>
      <c r="N598" s="596">
        <v>1</v>
      </c>
      <c r="O598" s="596">
        <v>1</v>
      </c>
      <c r="P598" s="596">
        <v>1</v>
      </c>
      <c r="Q598" s="596">
        <v>1</v>
      </c>
      <c r="R598" s="596">
        <v>1</v>
      </c>
      <c r="S598" s="596"/>
      <c r="T598" s="593"/>
      <c r="U598" s="593"/>
      <c r="V598" s="596">
        <v>1</v>
      </c>
      <c r="W598" s="596">
        <v>1</v>
      </c>
      <c r="X598" s="596">
        <v>1</v>
      </c>
      <c r="Y598" s="596">
        <v>1</v>
      </c>
      <c r="Z598" s="596">
        <f t="shared" si="169"/>
        <v>1</v>
      </c>
      <c r="AA598" s="580">
        <f t="shared" si="169"/>
        <v>1</v>
      </c>
      <c r="AB598" s="596">
        <f t="shared" si="169"/>
        <v>1</v>
      </c>
      <c r="AC598" s="596">
        <f t="shared" si="169"/>
        <v>1</v>
      </c>
      <c r="AD598" s="596">
        <f t="shared" si="169"/>
        <v>1</v>
      </c>
      <c r="AE598" s="596">
        <f t="shared" si="169"/>
        <v>1</v>
      </c>
      <c r="AF598" s="852" t="s">
        <v>875</v>
      </c>
      <c r="AG598" s="853" t="s">
        <v>876</v>
      </c>
      <c r="AH598" s="849" t="s">
        <v>877</v>
      </c>
      <c r="AI598" s="849" t="s">
        <v>878</v>
      </c>
      <c r="AJ598" s="849" t="s">
        <v>849</v>
      </c>
      <c r="AK598" s="850" t="s">
        <v>490</v>
      </c>
      <c r="AL598" s="851" t="s">
        <v>765</v>
      </c>
      <c r="AM598" s="851" t="s">
        <v>752</v>
      </c>
      <c r="AN598" s="851">
        <v>82848</v>
      </c>
      <c r="AO598" s="858">
        <v>34462</v>
      </c>
      <c r="AP598" s="858">
        <v>48386</v>
      </c>
      <c r="AQ598" s="845" t="s">
        <v>492</v>
      </c>
      <c r="AR598" s="845" t="s">
        <v>492</v>
      </c>
      <c r="AS598" s="845" t="s">
        <v>492</v>
      </c>
      <c r="AT598" s="845" t="s">
        <v>492</v>
      </c>
      <c r="AU598" s="845" t="s">
        <v>492</v>
      </c>
      <c r="AV598" s="845" t="s">
        <v>492</v>
      </c>
      <c r="AW598" s="845" t="s">
        <v>492</v>
      </c>
      <c r="AX598" s="855">
        <v>82848</v>
      </c>
      <c r="AY598" s="845" t="s">
        <v>879</v>
      </c>
    </row>
    <row r="599" spans="1:51" ht="19.149999999999999" customHeight="1" x14ac:dyDescent="0.25">
      <c r="A599" s="828"/>
      <c r="B599" s="822"/>
      <c r="C599" s="838"/>
      <c r="D599" s="578" t="s">
        <v>349</v>
      </c>
      <c r="E599" s="582"/>
      <c r="F599" s="582"/>
      <c r="G599" s="597"/>
      <c r="H599" s="597"/>
      <c r="I599" s="580">
        <v>19555333.333333332</v>
      </c>
      <c r="J599" s="580">
        <v>31747300</v>
      </c>
      <c r="K599" s="580">
        <v>22676642.857142858</v>
      </c>
      <c r="L599" s="580">
        <v>18674882.352941178</v>
      </c>
      <c r="M599" s="580">
        <f>+M598*$Z$533/$Z$532</f>
        <v>15873650</v>
      </c>
      <c r="N599" s="580">
        <f>+N598*$AA$533/$AA$532</f>
        <v>12210500</v>
      </c>
      <c r="O599" s="580">
        <f>+O598*$AB$533/$AB$532</f>
        <v>12210500</v>
      </c>
      <c r="P599" s="580">
        <f>+P598*$AC$533/$AC$532</f>
        <v>10947344.827586208</v>
      </c>
      <c r="Q599" s="580">
        <f>+Q598*$AD$533/$AD$532</f>
        <v>9921031.25</v>
      </c>
      <c r="R599" s="580">
        <f>+R598*$AE$533/$AE$532</f>
        <v>9910170.5882352944</v>
      </c>
      <c r="S599" s="580"/>
      <c r="T599" s="593"/>
      <c r="U599" s="593"/>
      <c r="V599" s="596">
        <v>19555333.333333332</v>
      </c>
      <c r="W599" s="596">
        <v>31747300</v>
      </c>
      <c r="X599" s="596">
        <v>22676642.857142858</v>
      </c>
      <c r="Y599" s="596">
        <v>18674882.352941178</v>
      </c>
      <c r="Z599" s="596">
        <f t="shared" si="169"/>
        <v>15873650</v>
      </c>
      <c r="AA599" s="580">
        <f t="shared" si="169"/>
        <v>12210500</v>
      </c>
      <c r="AB599" s="596">
        <f t="shared" si="169"/>
        <v>12210500</v>
      </c>
      <c r="AC599" s="596">
        <f t="shared" si="169"/>
        <v>10947344.827586208</v>
      </c>
      <c r="AD599" s="596">
        <f t="shared" si="169"/>
        <v>9921031.25</v>
      </c>
      <c r="AE599" s="580">
        <f t="shared" si="169"/>
        <v>9910170.5882352944</v>
      </c>
      <c r="AF599" s="838"/>
      <c r="AG599" s="828"/>
      <c r="AH599" s="822"/>
      <c r="AI599" s="822"/>
      <c r="AJ599" s="822"/>
      <c r="AK599" s="806"/>
      <c r="AL599" s="806"/>
      <c r="AM599" s="806"/>
      <c r="AN599" s="806"/>
      <c r="AO599" s="806"/>
      <c r="AP599" s="806"/>
      <c r="AQ599" s="806"/>
      <c r="AR599" s="806"/>
      <c r="AS599" s="806"/>
      <c r="AT599" s="806"/>
      <c r="AU599" s="806"/>
      <c r="AV599" s="806"/>
      <c r="AW599" s="806"/>
      <c r="AX599" s="856"/>
      <c r="AY599" s="806"/>
    </row>
    <row r="600" spans="1:51" ht="28.9" customHeight="1" x14ac:dyDescent="0.25">
      <c r="A600" s="828"/>
      <c r="B600" s="822"/>
      <c r="C600" s="838"/>
      <c r="D600" s="579" t="s">
        <v>351</v>
      </c>
      <c r="E600" s="582"/>
      <c r="F600" s="582"/>
      <c r="G600" s="597"/>
      <c r="H600" s="597"/>
      <c r="I600" s="596"/>
      <c r="J600" s="596"/>
      <c r="K600" s="621"/>
      <c r="L600" s="596"/>
      <c r="M600" s="596"/>
      <c r="N600" s="596"/>
      <c r="O600" s="596"/>
      <c r="P600" s="596"/>
      <c r="Q600" s="596"/>
      <c r="R600" s="596"/>
      <c r="S600" s="596"/>
      <c r="T600" s="593"/>
      <c r="U600" s="593"/>
      <c r="V600" s="596">
        <v>0</v>
      </c>
      <c r="W600" s="596">
        <v>0</v>
      </c>
      <c r="X600" s="596">
        <v>0</v>
      </c>
      <c r="Y600" s="596">
        <v>0</v>
      </c>
      <c r="Z600" s="596">
        <f t="shared" si="169"/>
        <v>0</v>
      </c>
      <c r="AA600" s="580">
        <f t="shared" si="169"/>
        <v>0</v>
      </c>
      <c r="AB600" s="596">
        <f t="shared" si="169"/>
        <v>0</v>
      </c>
      <c r="AC600" s="596">
        <f t="shared" si="169"/>
        <v>0</v>
      </c>
      <c r="AD600" s="596">
        <f t="shared" si="169"/>
        <v>0</v>
      </c>
      <c r="AE600" s="596">
        <f t="shared" si="169"/>
        <v>0</v>
      </c>
      <c r="AF600" s="838"/>
      <c r="AG600" s="828"/>
      <c r="AH600" s="822"/>
      <c r="AI600" s="822"/>
      <c r="AJ600" s="822"/>
      <c r="AK600" s="806"/>
      <c r="AL600" s="806"/>
      <c r="AM600" s="806"/>
      <c r="AN600" s="806"/>
      <c r="AO600" s="806"/>
      <c r="AP600" s="806"/>
      <c r="AQ600" s="806"/>
      <c r="AR600" s="806"/>
      <c r="AS600" s="806"/>
      <c r="AT600" s="806"/>
      <c r="AU600" s="806"/>
      <c r="AV600" s="806"/>
      <c r="AW600" s="806"/>
      <c r="AX600" s="856"/>
      <c r="AY600" s="806"/>
    </row>
    <row r="601" spans="1:51" ht="28.9" customHeight="1" x14ac:dyDescent="0.25">
      <c r="A601" s="828"/>
      <c r="B601" s="822"/>
      <c r="C601" s="838"/>
      <c r="D601" s="578" t="s">
        <v>352</v>
      </c>
      <c r="E601" s="582"/>
      <c r="F601" s="582"/>
      <c r="G601" s="597"/>
      <c r="H601" s="597"/>
      <c r="I601" s="596">
        <v>1101298.057142857</v>
      </c>
      <c r="J601" s="596">
        <v>4072938.2</v>
      </c>
      <c r="K601" s="596">
        <v>4072938.2</v>
      </c>
      <c r="L601" s="596">
        <v>4072938.2</v>
      </c>
      <c r="M601" s="596">
        <v>1861361.8181818181</v>
      </c>
      <c r="N601" s="596">
        <v>1861361.8181818181</v>
      </c>
      <c r="O601" s="596">
        <v>1861361.8181818181</v>
      </c>
      <c r="P601" s="596">
        <v>1750474.2307692308</v>
      </c>
      <c r="Q601" s="596">
        <v>1750474.2307692308</v>
      </c>
      <c r="R601" s="596">
        <v>1750474.2307692308</v>
      </c>
      <c r="S601" s="596"/>
      <c r="T601" s="593"/>
      <c r="U601" s="593"/>
      <c r="V601" s="596">
        <v>1101298.057142857</v>
      </c>
      <c r="W601" s="596">
        <v>4072938.2</v>
      </c>
      <c r="X601" s="596">
        <v>4072938.2</v>
      </c>
      <c r="Y601" s="596">
        <v>4072938.2</v>
      </c>
      <c r="Z601" s="596">
        <f t="shared" si="169"/>
        <v>1861361.8181818181</v>
      </c>
      <c r="AA601" s="580">
        <f t="shared" si="169"/>
        <v>1861361.8181818181</v>
      </c>
      <c r="AB601" s="596">
        <f t="shared" si="169"/>
        <v>1861361.8181818181</v>
      </c>
      <c r="AC601" s="596">
        <f t="shared" si="169"/>
        <v>1750474.2307692308</v>
      </c>
      <c r="AD601" s="596">
        <f t="shared" si="169"/>
        <v>1750474.2307692308</v>
      </c>
      <c r="AE601" s="596">
        <f t="shared" si="169"/>
        <v>1750474.2307692308</v>
      </c>
      <c r="AF601" s="838"/>
      <c r="AG601" s="828"/>
      <c r="AH601" s="822"/>
      <c r="AI601" s="822"/>
      <c r="AJ601" s="822"/>
      <c r="AK601" s="806"/>
      <c r="AL601" s="806"/>
      <c r="AM601" s="806"/>
      <c r="AN601" s="806"/>
      <c r="AO601" s="806"/>
      <c r="AP601" s="806"/>
      <c r="AQ601" s="806"/>
      <c r="AR601" s="806"/>
      <c r="AS601" s="806"/>
      <c r="AT601" s="806"/>
      <c r="AU601" s="806"/>
      <c r="AV601" s="806"/>
      <c r="AW601" s="806"/>
      <c r="AX601" s="856"/>
      <c r="AY601" s="806"/>
    </row>
    <row r="602" spans="1:51" ht="28.9" customHeight="1" x14ac:dyDescent="0.25">
      <c r="A602" s="828"/>
      <c r="B602" s="822"/>
      <c r="C602" s="838"/>
      <c r="D602" s="579" t="s">
        <v>353</v>
      </c>
      <c r="E602" s="582"/>
      <c r="F602" s="582"/>
      <c r="G602" s="597"/>
      <c r="H602" s="597"/>
      <c r="I602" s="596">
        <v>1</v>
      </c>
      <c r="J602" s="596">
        <v>1</v>
      </c>
      <c r="K602" s="621">
        <v>1</v>
      </c>
      <c r="L602" s="596">
        <v>1</v>
      </c>
      <c r="M602" s="596">
        <v>1</v>
      </c>
      <c r="N602" s="596">
        <v>1</v>
      </c>
      <c r="O602" s="596">
        <v>1</v>
      </c>
      <c r="P602" s="596">
        <v>1</v>
      </c>
      <c r="Q602" s="596">
        <v>1</v>
      </c>
      <c r="R602" s="596">
        <v>1</v>
      </c>
      <c r="S602" s="596"/>
      <c r="T602" s="593"/>
      <c r="U602" s="593"/>
      <c r="V602" s="596">
        <v>1</v>
      </c>
      <c r="W602" s="596">
        <v>1</v>
      </c>
      <c r="X602" s="596">
        <v>1</v>
      </c>
      <c r="Y602" s="596">
        <v>1</v>
      </c>
      <c r="Z602" s="596">
        <f t="shared" si="169"/>
        <v>1</v>
      </c>
      <c r="AA602" s="580">
        <f t="shared" si="169"/>
        <v>1</v>
      </c>
      <c r="AB602" s="596">
        <f t="shared" si="169"/>
        <v>1</v>
      </c>
      <c r="AC602" s="596">
        <f t="shared" si="169"/>
        <v>1</v>
      </c>
      <c r="AD602" s="596">
        <f t="shared" si="169"/>
        <v>1</v>
      </c>
      <c r="AE602" s="596">
        <f t="shared" si="169"/>
        <v>1</v>
      </c>
      <c r="AF602" s="838"/>
      <c r="AG602" s="828"/>
      <c r="AH602" s="822"/>
      <c r="AI602" s="822"/>
      <c r="AJ602" s="822"/>
      <c r="AK602" s="806"/>
      <c r="AL602" s="806"/>
      <c r="AM602" s="806"/>
      <c r="AN602" s="806"/>
      <c r="AO602" s="806"/>
      <c r="AP602" s="806"/>
      <c r="AQ602" s="806"/>
      <c r="AR602" s="806"/>
      <c r="AS602" s="806"/>
      <c r="AT602" s="806"/>
      <c r="AU602" s="806"/>
      <c r="AV602" s="806"/>
      <c r="AW602" s="806"/>
      <c r="AX602" s="856"/>
      <c r="AY602" s="806"/>
    </row>
    <row r="603" spans="1:51" ht="28.9" customHeight="1" x14ac:dyDescent="0.25">
      <c r="A603" s="828"/>
      <c r="B603" s="822"/>
      <c r="C603" s="839"/>
      <c r="D603" s="578" t="s">
        <v>354</v>
      </c>
      <c r="E603" s="582"/>
      <c r="F603" s="582"/>
      <c r="G603" s="597"/>
      <c r="H603" s="597"/>
      <c r="I603" s="575">
        <v>20656631.39047619</v>
      </c>
      <c r="J603" s="575">
        <v>35820238.200000003</v>
      </c>
      <c r="K603" s="596">
        <v>26749581.057142857</v>
      </c>
      <c r="L603" s="575">
        <v>22747820.552941177</v>
      </c>
      <c r="M603" s="596">
        <f t="shared" ref="M603:R603" si="171">+M599+M601</f>
        <v>17735011.818181816</v>
      </c>
      <c r="N603" s="596">
        <f t="shared" si="171"/>
        <v>14071861.818181818</v>
      </c>
      <c r="O603" s="596">
        <f t="shared" si="171"/>
        <v>14071861.818181818</v>
      </c>
      <c r="P603" s="596">
        <f t="shared" si="171"/>
        <v>12697819.058355438</v>
      </c>
      <c r="Q603" s="596">
        <f t="shared" si="171"/>
        <v>11671505.48076923</v>
      </c>
      <c r="R603" s="596">
        <f t="shared" si="171"/>
        <v>11660644.819004524</v>
      </c>
      <c r="S603" s="596"/>
      <c r="T603" s="593"/>
      <c r="U603" s="593"/>
      <c r="V603" s="596">
        <v>20656631.39047619</v>
      </c>
      <c r="W603" s="596">
        <v>35820238.200000003</v>
      </c>
      <c r="X603" s="596">
        <v>26749581.057142857</v>
      </c>
      <c r="Y603" s="596">
        <v>22747820.552941177</v>
      </c>
      <c r="Z603" s="596">
        <f t="shared" si="169"/>
        <v>17735011.818181816</v>
      </c>
      <c r="AA603" s="580">
        <f t="shared" si="169"/>
        <v>14071861.818181818</v>
      </c>
      <c r="AB603" s="596">
        <f t="shared" si="169"/>
        <v>14071861.818181818</v>
      </c>
      <c r="AC603" s="596">
        <f t="shared" si="169"/>
        <v>12697819.058355438</v>
      </c>
      <c r="AD603" s="596">
        <f t="shared" si="169"/>
        <v>11671505.48076923</v>
      </c>
      <c r="AE603" s="596">
        <f t="shared" si="169"/>
        <v>11660644.819004524</v>
      </c>
      <c r="AF603" s="839"/>
      <c r="AG603" s="829"/>
      <c r="AH603" s="823"/>
      <c r="AI603" s="823"/>
      <c r="AJ603" s="823"/>
      <c r="AK603" s="807"/>
      <c r="AL603" s="807"/>
      <c r="AM603" s="807"/>
      <c r="AN603" s="807"/>
      <c r="AO603" s="807"/>
      <c r="AP603" s="807"/>
      <c r="AQ603" s="807"/>
      <c r="AR603" s="807"/>
      <c r="AS603" s="807"/>
      <c r="AT603" s="807"/>
      <c r="AU603" s="807"/>
      <c r="AV603" s="807"/>
      <c r="AW603" s="807"/>
      <c r="AX603" s="857"/>
      <c r="AY603" s="807"/>
    </row>
    <row r="604" spans="1:51" ht="19.149999999999999" customHeight="1" x14ac:dyDescent="0.25">
      <c r="A604" s="828"/>
      <c r="B604" s="822"/>
      <c r="C604" s="837" t="s">
        <v>581</v>
      </c>
      <c r="D604" s="572" t="s">
        <v>345</v>
      </c>
      <c r="E604" s="582"/>
      <c r="F604" s="582"/>
      <c r="G604" s="597"/>
      <c r="H604" s="597"/>
      <c r="I604" s="575"/>
      <c r="J604" s="575"/>
      <c r="K604" s="621"/>
      <c r="L604" s="575"/>
      <c r="M604" s="596"/>
      <c r="N604" s="596">
        <v>1</v>
      </c>
      <c r="O604" s="596">
        <v>1</v>
      </c>
      <c r="P604" s="596">
        <v>1</v>
      </c>
      <c r="Q604" s="596">
        <v>1</v>
      </c>
      <c r="R604" s="596">
        <v>1</v>
      </c>
      <c r="S604" s="596"/>
      <c r="T604" s="593"/>
      <c r="U604" s="593"/>
      <c r="V604" s="596"/>
      <c r="W604" s="596"/>
      <c r="X604" s="596"/>
      <c r="Y604" s="596"/>
      <c r="Z604" s="596"/>
      <c r="AA604" s="580">
        <f t="shared" si="169"/>
        <v>1</v>
      </c>
      <c r="AB604" s="596">
        <f t="shared" si="169"/>
        <v>1</v>
      </c>
      <c r="AC604" s="596">
        <f t="shared" si="169"/>
        <v>1</v>
      </c>
      <c r="AD604" s="596">
        <f t="shared" si="169"/>
        <v>1</v>
      </c>
      <c r="AE604" s="596">
        <f t="shared" si="169"/>
        <v>1</v>
      </c>
      <c r="AF604" s="852" t="s">
        <v>880</v>
      </c>
      <c r="AG604" s="853" t="s">
        <v>881</v>
      </c>
      <c r="AH604" s="849" t="s">
        <v>882</v>
      </c>
      <c r="AI604" s="849" t="s">
        <v>883</v>
      </c>
      <c r="AJ604" s="849" t="s">
        <v>853</v>
      </c>
      <c r="AK604" s="850" t="s">
        <v>490</v>
      </c>
      <c r="AL604" s="851" t="s">
        <v>765</v>
      </c>
      <c r="AM604" s="851" t="s">
        <v>752</v>
      </c>
      <c r="AN604" s="851">
        <v>83925</v>
      </c>
      <c r="AO604" s="851">
        <v>38960</v>
      </c>
      <c r="AP604" s="851">
        <v>44965</v>
      </c>
      <c r="AQ604" s="845" t="s">
        <v>492</v>
      </c>
      <c r="AR604" s="845" t="s">
        <v>492</v>
      </c>
      <c r="AS604" s="845" t="s">
        <v>492</v>
      </c>
      <c r="AT604" s="845" t="s">
        <v>492</v>
      </c>
      <c r="AU604" s="845" t="s">
        <v>492</v>
      </c>
      <c r="AV604" s="845" t="s">
        <v>492</v>
      </c>
      <c r="AW604" s="845" t="s">
        <v>492</v>
      </c>
      <c r="AX604" s="854">
        <v>83925</v>
      </c>
      <c r="AY604" s="845" t="s">
        <v>879</v>
      </c>
    </row>
    <row r="605" spans="1:51" ht="19.149999999999999" customHeight="1" x14ac:dyDescent="0.25">
      <c r="A605" s="828"/>
      <c r="B605" s="822"/>
      <c r="C605" s="838"/>
      <c r="D605" s="578" t="s">
        <v>349</v>
      </c>
      <c r="E605" s="582"/>
      <c r="F605" s="582"/>
      <c r="G605" s="597"/>
      <c r="H605" s="597"/>
      <c r="I605" s="575"/>
      <c r="J605" s="575"/>
      <c r="K605" s="621"/>
      <c r="L605" s="575"/>
      <c r="M605" s="596"/>
      <c r="N605" s="580">
        <f>+N604*$AA$533/$AA$532</f>
        <v>12210500</v>
      </c>
      <c r="O605" s="580">
        <f>+O604*$AB$533/$AB$532</f>
        <v>12210500</v>
      </c>
      <c r="P605" s="580">
        <f>+P604*$AC$533/$AC$532</f>
        <v>10947344.827586208</v>
      </c>
      <c r="Q605" s="580">
        <f>+Q604*$AD$533/$AD$532</f>
        <v>9921031.25</v>
      </c>
      <c r="R605" s="580">
        <f>+R604*$AE$533/$AE$532</f>
        <v>9910170.5882352944</v>
      </c>
      <c r="S605" s="580"/>
      <c r="T605" s="593"/>
      <c r="U605" s="593"/>
      <c r="V605" s="596"/>
      <c r="W605" s="596"/>
      <c r="X605" s="596"/>
      <c r="Y605" s="596"/>
      <c r="Z605" s="596"/>
      <c r="AA605" s="580">
        <f t="shared" si="169"/>
        <v>12210500</v>
      </c>
      <c r="AB605" s="596">
        <f t="shared" si="169"/>
        <v>12210500</v>
      </c>
      <c r="AC605" s="596">
        <f t="shared" si="169"/>
        <v>10947344.827586208</v>
      </c>
      <c r="AD605" s="596">
        <f t="shared" si="169"/>
        <v>9921031.25</v>
      </c>
      <c r="AE605" s="580">
        <f t="shared" si="169"/>
        <v>9910170.5882352944</v>
      </c>
      <c r="AF605" s="838"/>
      <c r="AG605" s="828"/>
      <c r="AH605" s="822"/>
      <c r="AI605" s="822"/>
      <c r="AJ605" s="822"/>
      <c r="AK605" s="806"/>
      <c r="AL605" s="806"/>
      <c r="AM605" s="806"/>
      <c r="AN605" s="806"/>
      <c r="AO605" s="806"/>
      <c r="AP605" s="806"/>
      <c r="AQ605" s="806"/>
      <c r="AR605" s="806"/>
      <c r="AS605" s="806"/>
      <c r="AT605" s="806"/>
      <c r="AU605" s="806"/>
      <c r="AV605" s="806"/>
      <c r="AW605" s="806"/>
      <c r="AX605" s="806"/>
      <c r="AY605" s="806"/>
    </row>
    <row r="606" spans="1:51" ht="28.9" customHeight="1" x14ac:dyDescent="0.25">
      <c r="A606" s="828"/>
      <c r="B606" s="822"/>
      <c r="C606" s="838"/>
      <c r="D606" s="579" t="s">
        <v>351</v>
      </c>
      <c r="E606" s="582"/>
      <c r="F606" s="582"/>
      <c r="G606" s="597"/>
      <c r="H606" s="597"/>
      <c r="I606" s="575"/>
      <c r="J606" s="575"/>
      <c r="K606" s="621"/>
      <c r="L606" s="575"/>
      <c r="M606" s="596"/>
      <c r="N606" s="596"/>
      <c r="O606" s="596"/>
      <c r="P606" s="596"/>
      <c r="Q606" s="596"/>
      <c r="R606" s="596"/>
      <c r="S606" s="596"/>
      <c r="T606" s="593"/>
      <c r="U606" s="593"/>
      <c r="V606" s="596"/>
      <c r="W606" s="596"/>
      <c r="X606" s="596"/>
      <c r="Y606" s="596"/>
      <c r="Z606" s="596"/>
      <c r="AA606" s="580">
        <f t="shared" si="169"/>
        <v>0</v>
      </c>
      <c r="AB606" s="596">
        <f t="shared" si="169"/>
        <v>0</v>
      </c>
      <c r="AC606" s="596">
        <f t="shared" si="169"/>
        <v>0</v>
      </c>
      <c r="AD606" s="596">
        <f t="shared" si="169"/>
        <v>0</v>
      </c>
      <c r="AE606" s="596">
        <f t="shared" si="169"/>
        <v>0</v>
      </c>
      <c r="AF606" s="838"/>
      <c r="AG606" s="828"/>
      <c r="AH606" s="822"/>
      <c r="AI606" s="822"/>
      <c r="AJ606" s="822"/>
      <c r="AK606" s="806"/>
      <c r="AL606" s="806"/>
      <c r="AM606" s="806"/>
      <c r="AN606" s="806"/>
      <c r="AO606" s="806"/>
      <c r="AP606" s="806"/>
      <c r="AQ606" s="806"/>
      <c r="AR606" s="806"/>
      <c r="AS606" s="806"/>
      <c r="AT606" s="806"/>
      <c r="AU606" s="806"/>
      <c r="AV606" s="806"/>
      <c r="AW606" s="806"/>
      <c r="AX606" s="806"/>
      <c r="AY606" s="806"/>
    </row>
    <row r="607" spans="1:51" ht="28.9" customHeight="1" x14ac:dyDescent="0.25">
      <c r="A607" s="828"/>
      <c r="B607" s="822"/>
      <c r="C607" s="838"/>
      <c r="D607" s="578" t="s">
        <v>352</v>
      </c>
      <c r="E607" s="582"/>
      <c r="F607" s="582"/>
      <c r="G607" s="597"/>
      <c r="H607" s="597"/>
      <c r="I607" s="575"/>
      <c r="J607" s="575"/>
      <c r="K607" s="621"/>
      <c r="L607" s="575"/>
      <c r="M607" s="596"/>
      <c r="N607" s="596"/>
      <c r="O607" s="596"/>
      <c r="P607" s="596">
        <v>1750474.2307692308</v>
      </c>
      <c r="Q607" s="596">
        <v>1750474.2307692308</v>
      </c>
      <c r="R607" s="596">
        <v>1750474.2307692308</v>
      </c>
      <c r="S607" s="596"/>
      <c r="T607" s="593"/>
      <c r="U607" s="593"/>
      <c r="V607" s="596"/>
      <c r="W607" s="596"/>
      <c r="X607" s="596"/>
      <c r="Y607" s="596"/>
      <c r="Z607" s="596"/>
      <c r="AA607" s="580">
        <f t="shared" si="169"/>
        <v>0</v>
      </c>
      <c r="AB607" s="596">
        <f t="shared" si="169"/>
        <v>0</v>
      </c>
      <c r="AC607" s="596">
        <f t="shared" si="169"/>
        <v>1750474.2307692308</v>
      </c>
      <c r="AD607" s="596">
        <f t="shared" si="169"/>
        <v>1750474.2307692308</v>
      </c>
      <c r="AE607" s="596">
        <f t="shared" si="169"/>
        <v>1750474.2307692308</v>
      </c>
      <c r="AF607" s="838"/>
      <c r="AG607" s="828"/>
      <c r="AH607" s="822"/>
      <c r="AI607" s="822"/>
      <c r="AJ607" s="822"/>
      <c r="AK607" s="806"/>
      <c r="AL607" s="806"/>
      <c r="AM607" s="806"/>
      <c r="AN607" s="806"/>
      <c r="AO607" s="806"/>
      <c r="AP607" s="806"/>
      <c r="AQ607" s="806"/>
      <c r="AR607" s="806"/>
      <c r="AS607" s="806"/>
      <c r="AT607" s="806"/>
      <c r="AU607" s="806"/>
      <c r="AV607" s="806"/>
      <c r="AW607" s="806"/>
      <c r="AX607" s="806"/>
      <c r="AY607" s="806"/>
    </row>
    <row r="608" spans="1:51" ht="28.9" customHeight="1" x14ac:dyDescent="0.25">
      <c r="A608" s="828"/>
      <c r="B608" s="822"/>
      <c r="C608" s="838"/>
      <c r="D608" s="579" t="s">
        <v>353</v>
      </c>
      <c r="E608" s="582"/>
      <c r="F608" s="582"/>
      <c r="G608" s="597"/>
      <c r="H608" s="597"/>
      <c r="I608" s="575"/>
      <c r="J608" s="575"/>
      <c r="K608" s="621"/>
      <c r="L608" s="575"/>
      <c r="M608" s="596"/>
      <c r="N608" s="596">
        <v>1</v>
      </c>
      <c r="O608" s="596">
        <v>1</v>
      </c>
      <c r="P608" s="596">
        <v>1</v>
      </c>
      <c r="Q608" s="596">
        <v>1</v>
      </c>
      <c r="R608" s="596">
        <v>1</v>
      </c>
      <c r="S608" s="596"/>
      <c r="T608" s="593"/>
      <c r="U608" s="593"/>
      <c r="V608" s="596"/>
      <c r="W608" s="596"/>
      <c r="X608" s="596"/>
      <c r="Y608" s="596"/>
      <c r="Z608" s="596"/>
      <c r="AA608" s="580">
        <f t="shared" si="169"/>
        <v>1</v>
      </c>
      <c r="AB608" s="596">
        <f t="shared" si="169"/>
        <v>1</v>
      </c>
      <c r="AC608" s="596">
        <f t="shared" si="169"/>
        <v>1</v>
      </c>
      <c r="AD608" s="596">
        <f t="shared" si="169"/>
        <v>1</v>
      </c>
      <c r="AE608" s="596">
        <f t="shared" si="169"/>
        <v>1</v>
      </c>
      <c r="AF608" s="838"/>
      <c r="AG608" s="828"/>
      <c r="AH608" s="822"/>
      <c r="AI608" s="822"/>
      <c r="AJ608" s="822"/>
      <c r="AK608" s="806"/>
      <c r="AL608" s="806"/>
      <c r="AM608" s="806"/>
      <c r="AN608" s="806"/>
      <c r="AO608" s="806"/>
      <c r="AP608" s="806"/>
      <c r="AQ608" s="806"/>
      <c r="AR608" s="806"/>
      <c r="AS608" s="806"/>
      <c r="AT608" s="806"/>
      <c r="AU608" s="806"/>
      <c r="AV608" s="806"/>
      <c r="AW608" s="806"/>
      <c r="AX608" s="806"/>
      <c r="AY608" s="806"/>
    </row>
    <row r="609" spans="1:51" ht="28.9" customHeight="1" x14ac:dyDescent="0.25">
      <c r="A609" s="828"/>
      <c r="B609" s="822"/>
      <c r="C609" s="839"/>
      <c r="D609" s="578" t="s">
        <v>354</v>
      </c>
      <c r="E609" s="582"/>
      <c r="F609" s="582"/>
      <c r="G609" s="597"/>
      <c r="H609" s="597"/>
      <c r="I609" s="575"/>
      <c r="J609" s="575"/>
      <c r="K609" s="621"/>
      <c r="L609" s="575"/>
      <c r="M609" s="596"/>
      <c r="N609" s="596">
        <f t="shared" ref="N609:R609" si="172">+N605+N607</f>
        <v>12210500</v>
      </c>
      <c r="O609" s="596">
        <f t="shared" si="172"/>
        <v>12210500</v>
      </c>
      <c r="P609" s="596">
        <f t="shared" si="172"/>
        <v>12697819.058355438</v>
      </c>
      <c r="Q609" s="596">
        <f t="shared" si="172"/>
        <v>11671505.48076923</v>
      </c>
      <c r="R609" s="596">
        <f t="shared" si="172"/>
        <v>11660644.819004524</v>
      </c>
      <c r="S609" s="596"/>
      <c r="T609" s="593"/>
      <c r="U609" s="593"/>
      <c r="V609" s="596"/>
      <c r="W609" s="596"/>
      <c r="X609" s="596"/>
      <c r="Y609" s="596"/>
      <c r="Z609" s="596"/>
      <c r="AA609" s="580">
        <f t="shared" si="169"/>
        <v>12210500</v>
      </c>
      <c r="AB609" s="596">
        <f t="shared" si="169"/>
        <v>12210500</v>
      </c>
      <c r="AC609" s="596">
        <f t="shared" si="169"/>
        <v>12697819.058355438</v>
      </c>
      <c r="AD609" s="596">
        <f t="shared" si="169"/>
        <v>11671505.48076923</v>
      </c>
      <c r="AE609" s="596">
        <f t="shared" si="169"/>
        <v>11660644.819004524</v>
      </c>
      <c r="AF609" s="839"/>
      <c r="AG609" s="829"/>
      <c r="AH609" s="823"/>
      <c r="AI609" s="823"/>
      <c r="AJ609" s="823"/>
      <c r="AK609" s="807"/>
      <c r="AL609" s="807"/>
      <c r="AM609" s="807"/>
      <c r="AN609" s="807"/>
      <c r="AO609" s="807"/>
      <c r="AP609" s="807"/>
      <c r="AQ609" s="807"/>
      <c r="AR609" s="807"/>
      <c r="AS609" s="807"/>
      <c r="AT609" s="807"/>
      <c r="AU609" s="807"/>
      <c r="AV609" s="807"/>
      <c r="AW609" s="807"/>
      <c r="AX609" s="807"/>
      <c r="AY609" s="807"/>
    </row>
    <row r="610" spans="1:51" ht="19.149999999999999" customHeight="1" x14ac:dyDescent="0.25">
      <c r="A610" s="828"/>
      <c r="B610" s="822"/>
      <c r="C610" s="837" t="s">
        <v>884</v>
      </c>
      <c r="D610" s="572" t="s">
        <v>345</v>
      </c>
      <c r="E610" s="582"/>
      <c r="F610" s="582"/>
      <c r="G610" s="597"/>
      <c r="H610" s="597">
        <v>1</v>
      </c>
      <c r="I610" s="596">
        <v>1</v>
      </c>
      <c r="J610" s="596">
        <v>2</v>
      </c>
      <c r="K610" s="621">
        <v>2</v>
      </c>
      <c r="L610" s="596">
        <v>2</v>
      </c>
      <c r="M610" s="580">
        <v>3</v>
      </c>
      <c r="N610" s="593">
        <v>3</v>
      </c>
      <c r="O610" s="580">
        <v>3</v>
      </c>
      <c r="P610" s="596">
        <v>4</v>
      </c>
      <c r="Q610" s="596">
        <v>4</v>
      </c>
      <c r="R610" s="596">
        <v>5</v>
      </c>
      <c r="S610" s="596"/>
      <c r="T610" s="593"/>
      <c r="U610" s="596">
        <v>1</v>
      </c>
      <c r="V610" s="596">
        <v>1</v>
      </c>
      <c r="W610" s="596">
        <v>2</v>
      </c>
      <c r="X610" s="596">
        <v>2</v>
      </c>
      <c r="Y610" s="596">
        <v>2</v>
      </c>
      <c r="Z610" s="596">
        <f t="shared" ref="Z610:AE615" si="173">+M610</f>
        <v>3</v>
      </c>
      <c r="AA610" s="580">
        <f t="shared" si="173"/>
        <v>3</v>
      </c>
      <c r="AB610" s="596">
        <f t="shared" si="173"/>
        <v>3</v>
      </c>
      <c r="AC610" s="596">
        <f t="shared" si="173"/>
        <v>4</v>
      </c>
      <c r="AD610" s="596">
        <f t="shared" si="173"/>
        <v>4</v>
      </c>
      <c r="AE610" s="596">
        <f t="shared" si="173"/>
        <v>5</v>
      </c>
      <c r="AF610" s="852" t="s">
        <v>885</v>
      </c>
      <c r="AG610" s="853" t="s">
        <v>886</v>
      </c>
      <c r="AH610" s="849" t="s">
        <v>887</v>
      </c>
      <c r="AI610" s="849" t="s">
        <v>888</v>
      </c>
      <c r="AJ610" s="849" t="s">
        <v>843</v>
      </c>
      <c r="AK610" s="850" t="s">
        <v>490</v>
      </c>
      <c r="AL610" s="851" t="s">
        <v>765</v>
      </c>
      <c r="AM610" s="851" t="s">
        <v>752</v>
      </c>
      <c r="AN610" s="848">
        <v>256731</v>
      </c>
      <c r="AO610" s="848">
        <v>127095</v>
      </c>
      <c r="AP610" s="848">
        <v>129636</v>
      </c>
      <c r="AQ610" s="845" t="s">
        <v>492</v>
      </c>
      <c r="AR610" s="845" t="s">
        <v>492</v>
      </c>
      <c r="AS610" s="845" t="s">
        <v>492</v>
      </c>
      <c r="AT610" s="845" t="s">
        <v>889</v>
      </c>
      <c r="AU610" s="845" t="s">
        <v>492</v>
      </c>
      <c r="AV610" s="845" t="s">
        <v>492</v>
      </c>
      <c r="AW610" s="845" t="s">
        <v>492</v>
      </c>
      <c r="AX610" s="847">
        <v>256731</v>
      </c>
      <c r="AY610" s="845" t="s">
        <v>837</v>
      </c>
    </row>
    <row r="611" spans="1:51" ht="19.149999999999999" customHeight="1" x14ac:dyDescent="0.25">
      <c r="A611" s="828"/>
      <c r="B611" s="822"/>
      <c r="C611" s="838"/>
      <c r="D611" s="578" t="s">
        <v>349</v>
      </c>
      <c r="E611" s="582"/>
      <c r="F611" s="582"/>
      <c r="G611" s="597"/>
      <c r="H611" s="582">
        <v>58666000</v>
      </c>
      <c r="I611" s="580">
        <v>19555333.333333332</v>
      </c>
      <c r="J611" s="580">
        <v>63494600</v>
      </c>
      <c r="K611" s="580">
        <v>45353285.714285716</v>
      </c>
      <c r="L611" s="580">
        <v>37349764.705882356</v>
      </c>
      <c r="M611" s="580">
        <f>+M610*$Z$533/$Z$532</f>
        <v>47620950</v>
      </c>
      <c r="N611" s="580">
        <f>+N610*$AA$533/$AA$532</f>
        <v>36631500</v>
      </c>
      <c r="O611" s="580">
        <f>+O610*$AB$533/$AB$532</f>
        <v>36631500</v>
      </c>
      <c r="P611" s="580">
        <f>+P610*$AC$533/$AC$532</f>
        <v>43789379.31034483</v>
      </c>
      <c r="Q611" s="580">
        <f>+Q610*$AD$533/$AD$532</f>
        <v>39684125</v>
      </c>
      <c r="R611" s="580">
        <f>+R610*$AE$533/$AE$532</f>
        <v>49550852.941176474</v>
      </c>
      <c r="S611" s="580"/>
      <c r="T611" s="593"/>
      <c r="U611" s="596">
        <v>58666000</v>
      </c>
      <c r="V611" s="596">
        <v>19555333.333333332</v>
      </c>
      <c r="W611" s="596">
        <v>63494600</v>
      </c>
      <c r="X611" s="596">
        <v>45353285.714285716</v>
      </c>
      <c r="Y611" s="596">
        <v>37349764.705882356</v>
      </c>
      <c r="Z611" s="596">
        <f t="shared" si="173"/>
        <v>47620950</v>
      </c>
      <c r="AA611" s="580">
        <f t="shared" si="173"/>
        <v>36631500</v>
      </c>
      <c r="AB611" s="596">
        <f t="shared" si="173"/>
        <v>36631500</v>
      </c>
      <c r="AC611" s="596">
        <f t="shared" si="173"/>
        <v>43789379.31034483</v>
      </c>
      <c r="AD611" s="596">
        <f t="shared" si="173"/>
        <v>39684125</v>
      </c>
      <c r="AE611" s="580">
        <f t="shared" si="173"/>
        <v>49550852.941176474</v>
      </c>
      <c r="AF611" s="838"/>
      <c r="AG611" s="828"/>
      <c r="AH611" s="822"/>
      <c r="AI611" s="822"/>
      <c r="AJ611" s="822"/>
      <c r="AK611" s="806"/>
      <c r="AL611" s="806"/>
      <c r="AM611" s="806"/>
      <c r="AN611" s="806"/>
      <c r="AO611" s="806"/>
      <c r="AP611" s="806"/>
      <c r="AQ611" s="806"/>
      <c r="AR611" s="806"/>
      <c r="AS611" s="806"/>
      <c r="AT611" s="806"/>
      <c r="AU611" s="806"/>
      <c r="AV611" s="806"/>
      <c r="AW611" s="806"/>
      <c r="AX611" s="806"/>
      <c r="AY611" s="806"/>
    </row>
    <row r="612" spans="1:51" ht="28.9" customHeight="1" x14ac:dyDescent="0.25">
      <c r="A612" s="828"/>
      <c r="B612" s="822"/>
      <c r="C612" s="838"/>
      <c r="D612" s="579" t="s">
        <v>351</v>
      </c>
      <c r="E612" s="582"/>
      <c r="F612" s="582"/>
      <c r="G612" s="597"/>
      <c r="H612" s="597"/>
      <c r="I612" s="596"/>
      <c r="J612" s="596"/>
      <c r="K612" s="621"/>
      <c r="L612" s="596"/>
      <c r="M612" s="580"/>
      <c r="N612" s="593"/>
      <c r="O612" s="580"/>
      <c r="P612" s="596"/>
      <c r="Q612" s="596"/>
      <c r="R612" s="596"/>
      <c r="S612" s="596"/>
      <c r="T612" s="593"/>
      <c r="U612" s="596">
        <v>0</v>
      </c>
      <c r="V612" s="596">
        <v>0</v>
      </c>
      <c r="W612" s="596">
        <v>0</v>
      </c>
      <c r="X612" s="596">
        <v>0</v>
      </c>
      <c r="Y612" s="596">
        <v>0</v>
      </c>
      <c r="Z612" s="596">
        <f t="shared" si="173"/>
        <v>0</v>
      </c>
      <c r="AA612" s="580">
        <f t="shared" si="173"/>
        <v>0</v>
      </c>
      <c r="AB612" s="596">
        <f t="shared" si="173"/>
        <v>0</v>
      </c>
      <c r="AC612" s="596">
        <f t="shared" si="173"/>
        <v>0</v>
      </c>
      <c r="AD612" s="596">
        <f t="shared" si="173"/>
        <v>0</v>
      </c>
      <c r="AE612" s="596">
        <f t="shared" si="173"/>
        <v>0</v>
      </c>
      <c r="AF612" s="838"/>
      <c r="AG612" s="828"/>
      <c r="AH612" s="822"/>
      <c r="AI612" s="822"/>
      <c r="AJ612" s="822"/>
      <c r="AK612" s="806"/>
      <c r="AL612" s="806"/>
      <c r="AM612" s="806"/>
      <c r="AN612" s="806"/>
      <c r="AO612" s="806"/>
      <c r="AP612" s="806"/>
      <c r="AQ612" s="806"/>
      <c r="AR612" s="806"/>
      <c r="AS612" s="806"/>
      <c r="AT612" s="806"/>
      <c r="AU612" s="806"/>
      <c r="AV612" s="806"/>
      <c r="AW612" s="806"/>
      <c r="AX612" s="806"/>
      <c r="AY612" s="806"/>
    </row>
    <row r="613" spans="1:51" ht="28.9" customHeight="1" x14ac:dyDescent="0.25">
      <c r="A613" s="828"/>
      <c r="B613" s="822"/>
      <c r="C613" s="838"/>
      <c r="D613" s="578" t="s">
        <v>352</v>
      </c>
      <c r="E613" s="582"/>
      <c r="F613" s="582"/>
      <c r="G613" s="597"/>
      <c r="H613" s="597">
        <v>10182345.5</v>
      </c>
      <c r="I613" s="596">
        <v>1101298.057142857</v>
      </c>
      <c r="J613" s="596">
        <v>4072938.2</v>
      </c>
      <c r="K613" s="596">
        <v>4072938.2</v>
      </c>
      <c r="L613" s="596">
        <v>4072938.2</v>
      </c>
      <c r="M613" s="596">
        <v>1861361.8181818181</v>
      </c>
      <c r="N613" s="596">
        <v>1861361.8181818181</v>
      </c>
      <c r="O613" s="596">
        <v>1861361.8181818181</v>
      </c>
      <c r="P613" s="596">
        <v>1750474.2307692308</v>
      </c>
      <c r="Q613" s="596">
        <v>1750474.2307692308</v>
      </c>
      <c r="R613" s="596">
        <v>1750474.2307692308</v>
      </c>
      <c r="S613" s="596"/>
      <c r="T613" s="593"/>
      <c r="U613" s="596">
        <v>10182345.5</v>
      </c>
      <c r="V613" s="596">
        <v>1101298.057142857</v>
      </c>
      <c r="W613" s="596">
        <v>4072938.2</v>
      </c>
      <c r="X613" s="596">
        <v>4072938.2</v>
      </c>
      <c r="Y613" s="596">
        <v>4072938.2</v>
      </c>
      <c r="Z613" s="596">
        <f t="shared" si="173"/>
        <v>1861361.8181818181</v>
      </c>
      <c r="AA613" s="580">
        <f t="shared" si="173"/>
        <v>1861361.8181818181</v>
      </c>
      <c r="AB613" s="596">
        <f t="shared" si="173"/>
        <v>1861361.8181818181</v>
      </c>
      <c r="AC613" s="596">
        <f t="shared" si="173"/>
        <v>1750474.2307692308</v>
      </c>
      <c r="AD613" s="596">
        <f t="shared" si="173"/>
        <v>1750474.2307692308</v>
      </c>
      <c r="AE613" s="596">
        <f t="shared" si="173"/>
        <v>1750474.2307692308</v>
      </c>
      <c r="AF613" s="838"/>
      <c r="AG613" s="828"/>
      <c r="AH613" s="822"/>
      <c r="AI613" s="822"/>
      <c r="AJ613" s="822"/>
      <c r="AK613" s="806"/>
      <c r="AL613" s="806"/>
      <c r="AM613" s="806"/>
      <c r="AN613" s="806"/>
      <c r="AO613" s="806"/>
      <c r="AP613" s="806"/>
      <c r="AQ613" s="806"/>
      <c r="AR613" s="806"/>
      <c r="AS613" s="806"/>
      <c r="AT613" s="806"/>
      <c r="AU613" s="806"/>
      <c r="AV613" s="806"/>
      <c r="AW613" s="806"/>
      <c r="AX613" s="806"/>
      <c r="AY613" s="806"/>
    </row>
    <row r="614" spans="1:51" ht="28.9" customHeight="1" x14ac:dyDescent="0.25">
      <c r="A614" s="828"/>
      <c r="B614" s="822"/>
      <c r="C614" s="838"/>
      <c r="D614" s="579" t="s">
        <v>353</v>
      </c>
      <c r="E614" s="582"/>
      <c r="F614" s="582"/>
      <c r="G614" s="597"/>
      <c r="H614" s="597">
        <v>1</v>
      </c>
      <c r="I614" s="596">
        <v>1</v>
      </c>
      <c r="J614" s="596">
        <v>2</v>
      </c>
      <c r="K614" s="621">
        <v>2</v>
      </c>
      <c r="L614" s="596">
        <v>2</v>
      </c>
      <c r="M614" s="580">
        <v>3</v>
      </c>
      <c r="N614" s="593">
        <v>3</v>
      </c>
      <c r="O614" s="593">
        <v>3</v>
      </c>
      <c r="P614" s="596">
        <v>4</v>
      </c>
      <c r="Q614" s="596">
        <v>4</v>
      </c>
      <c r="R614" s="596">
        <v>5</v>
      </c>
      <c r="S614" s="596"/>
      <c r="T614" s="593"/>
      <c r="U614" s="596">
        <v>1</v>
      </c>
      <c r="V614" s="596">
        <v>1</v>
      </c>
      <c r="W614" s="596">
        <v>2</v>
      </c>
      <c r="X614" s="596">
        <v>2</v>
      </c>
      <c r="Y614" s="596">
        <v>2</v>
      </c>
      <c r="Z614" s="596">
        <f t="shared" si="173"/>
        <v>3</v>
      </c>
      <c r="AA614" s="580">
        <f t="shared" si="173"/>
        <v>3</v>
      </c>
      <c r="AB614" s="596">
        <f t="shared" si="173"/>
        <v>3</v>
      </c>
      <c r="AC614" s="596">
        <f t="shared" si="173"/>
        <v>4</v>
      </c>
      <c r="AD614" s="596">
        <f t="shared" si="173"/>
        <v>4</v>
      </c>
      <c r="AE614" s="596">
        <f t="shared" si="173"/>
        <v>5</v>
      </c>
      <c r="AF614" s="838"/>
      <c r="AG614" s="828"/>
      <c r="AH614" s="822"/>
      <c r="AI614" s="822"/>
      <c r="AJ614" s="822"/>
      <c r="AK614" s="806"/>
      <c r="AL614" s="806"/>
      <c r="AM614" s="806"/>
      <c r="AN614" s="806"/>
      <c r="AO614" s="806"/>
      <c r="AP614" s="806"/>
      <c r="AQ614" s="806"/>
      <c r="AR614" s="806"/>
      <c r="AS614" s="806"/>
      <c r="AT614" s="806"/>
      <c r="AU614" s="806"/>
      <c r="AV614" s="806"/>
      <c r="AW614" s="806"/>
      <c r="AX614" s="806"/>
      <c r="AY614" s="806"/>
    </row>
    <row r="615" spans="1:51" ht="28.9" customHeight="1" x14ac:dyDescent="0.25">
      <c r="A615" s="828"/>
      <c r="B615" s="822"/>
      <c r="C615" s="839"/>
      <c r="D615" s="578" t="s">
        <v>354</v>
      </c>
      <c r="E615" s="582"/>
      <c r="F615" s="582"/>
      <c r="G615" s="597"/>
      <c r="H615" s="583">
        <v>68848345.5</v>
      </c>
      <c r="I615" s="575">
        <v>20656631.39047619</v>
      </c>
      <c r="J615" s="575">
        <v>67567538.200000003</v>
      </c>
      <c r="K615" s="596">
        <v>49426223.914285719</v>
      </c>
      <c r="L615" s="575">
        <v>41422702.905882359</v>
      </c>
      <c r="M615" s="596">
        <f t="shared" ref="M615:R615" si="174">+M611+M613</f>
        <v>49482311.81818182</v>
      </c>
      <c r="N615" s="596">
        <f t="shared" si="174"/>
        <v>38492861.81818182</v>
      </c>
      <c r="O615" s="596">
        <f t="shared" si="174"/>
        <v>38492861.81818182</v>
      </c>
      <c r="P615" s="596">
        <f t="shared" si="174"/>
        <v>45539853.541114062</v>
      </c>
      <c r="Q615" s="596">
        <f t="shared" si="174"/>
        <v>41434599.230769232</v>
      </c>
      <c r="R615" s="596">
        <f t="shared" si="174"/>
        <v>51301327.171945706</v>
      </c>
      <c r="S615" s="596"/>
      <c r="T615" s="593"/>
      <c r="U615" s="596">
        <v>68848345.5</v>
      </c>
      <c r="V615" s="596">
        <v>20656631.39047619</v>
      </c>
      <c r="W615" s="596">
        <v>67567538.200000003</v>
      </c>
      <c r="X615" s="596">
        <v>49426223.914285719</v>
      </c>
      <c r="Y615" s="596">
        <v>41422702.905882359</v>
      </c>
      <c r="Z615" s="596">
        <f t="shared" si="173"/>
        <v>49482311.81818182</v>
      </c>
      <c r="AA615" s="580">
        <f t="shared" si="173"/>
        <v>38492861.81818182</v>
      </c>
      <c r="AB615" s="596">
        <f t="shared" si="173"/>
        <v>38492861.81818182</v>
      </c>
      <c r="AC615" s="596">
        <f t="shared" si="173"/>
        <v>45539853.541114062</v>
      </c>
      <c r="AD615" s="596">
        <f t="shared" si="173"/>
        <v>41434599.230769232</v>
      </c>
      <c r="AE615" s="596">
        <f t="shared" si="173"/>
        <v>51301327.171945706</v>
      </c>
      <c r="AF615" s="839"/>
      <c r="AG615" s="829"/>
      <c r="AH615" s="823"/>
      <c r="AI615" s="823"/>
      <c r="AJ615" s="823"/>
      <c r="AK615" s="807"/>
      <c r="AL615" s="807"/>
      <c r="AM615" s="807"/>
      <c r="AN615" s="807"/>
      <c r="AO615" s="807"/>
      <c r="AP615" s="807"/>
      <c r="AQ615" s="807"/>
      <c r="AR615" s="807"/>
      <c r="AS615" s="807"/>
      <c r="AT615" s="807"/>
      <c r="AU615" s="807"/>
      <c r="AV615" s="807"/>
      <c r="AW615" s="807"/>
      <c r="AX615" s="807"/>
      <c r="AY615" s="807"/>
    </row>
    <row r="616" spans="1:51" ht="19.149999999999999" customHeight="1" x14ac:dyDescent="0.25">
      <c r="A616" s="828"/>
      <c r="B616" s="822"/>
      <c r="C616" s="821" t="s">
        <v>598</v>
      </c>
      <c r="D616" s="572" t="s">
        <v>345</v>
      </c>
      <c r="E616" s="582"/>
      <c r="F616" s="582"/>
      <c r="G616" s="582"/>
      <c r="H616" s="582">
        <v>32</v>
      </c>
      <c r="I616" s="580">
        <v>28</v>
      </c>
      <c r="J616" s="596">
        <v>24</v>
      </c>
      <c r="K616" s="580">
        <v>20</v>
      </c>
      <c r="L616" s="580">
        <v>17</v>
      </c>
      <c r="M616" s="580">
        <v>14</v>
      </c>
      <c r="N616" s="581">
        <v>11</v>
      </c>
      <c r="O616" s="580">
        <v>8</v>
      </c>
      <c r="P616" s="580">
        <v>5</v>
      </c>
      <c r="Q616" s="580">
        <v>2</v>
      </c>
      <c r="R616" s="580">
        <v>0</v>
      </c>
      <c r="S616" s="580"/>
      <c r="T616" s="581"/>
      <c r="U616" s="581"/>
      <c r="V616" s="580"/>
      <c r="W616" s="581"/>
      <c r="X616" s="581"/>
      <c r="Y616" s="580"/>
      <c r="Z616" s="596"/>
      <c r="AA616" s="580"/>
      <c r="AB616" s="587"/>
      <c r="AC616" s="576"/>
      <c r="AD616" s="588"/>
      <c r="AE616" s="580"/>
      <c r="AF616" s="666"/>
      <c r="AG616" s="821" t="s">
        <v>489</v>
      </c>
      <c r="AH616" s="824" t="s">
        <v>178</v>
      </c>
      <c r="AI616" s="824" t="s">
        <v>178</v>
      </c>
      <c r="AJ616" s="824" t="s">
        <v>178</v>
      </c>
      <c r="AK616" s="825" t="s">
        <v>490</v>
      </c>
      <c r="AL616" s="826"/>
      <c r="AM616" s="826" t="s">
        <v>752</v>
      </c>
      <c r="AN616" s="820">
        <v>7968095</v>
      </c>
      <c r="AO616" s="820">
        <v>3815676</v>
      </c>
      <c r="AP616" s="820">
        <v>4152419</v>
      </c>
      <c r="AQ616" s="844" t="s">
        <v>492</v>
      </c>
      <c r="AR616" s="844" t="s">
        <v>492</v>
      </c>
      <c r="AS616" s="844" t="s">
        <v>492</v>
      </c>
      <c r="AT616" s="844" t="s">
        <v>492</v>
      </c>
      <c r="AU616" s="844" t="s">
        <v>492</v>
      </c>
      <c r="AV616" s="844" t="s">
        <v>492</v>
      </c>
      <c r="AW616" s="844" t="s">
        <v>492</v>
      </c>
      <c r="AX616" s="808">
        <v>7968095</v>
      </c>
      <c r="AY616" s="845" t="s">
        <v>837</v>
      </c>
    </row>
    <row r="617" spans="1:51" ht="19.149999999999999" customHeight="1" x14ac:dyDescent="0.25">
      <c r="A617" s="828"/>
      <c r="B617" s="822"/>
      <c r="C617" s="822"/>
      <c r="D617" s="578" t="s">
        <v>349</v>
      </c>
      <c r="E617" s="582"/>
      <c r="F617" s="582"/>
      <c r="G617" s="597"/>
      <c r="H617" s="583">
        <v>74527000</v>
      </c>
      <c r="I617" s="580">
        <v>74527000</v>
      </c>
      <c r="J617" s="575">
        <v>42964000</v>
      </c>
      <c r="K617" s="575">
        <v>42964000</v>
      </c>
      <c r="L617" s="575">
        <v>42964000</v>
      </c>
      <c r="M617" s="575">
        <f t="shared" ref="M617:R617" si="175">+M533-Z533</f>
        <v>15063800</v>
      </c>
      <c r="N617" s="575">
        <f t="shared" si="175"/>
        <v>15063800</v>
      </c>
      <c r="O617" s="575">
        <f t="shared" si="175"/>
        <v>15063800</v>
      </c>
      <c r="P617" s="575">
        <f t="shared" si="175"/>
        <v>18444033</v>
      </c>
      <c r="Q617" s="575">
        <f t="shared" si="175"/>
        <v>19472800</v>
      </c>
      <c r="R617" s="575">
        <f t="shared" si="175"/>
        <v>0</v>
      </c>
      <c r="S617" s="575"/>
      <c r="T617" s="581"/>
      <c r="U617" s="581"/>
      <c r="V617" s="596"/>
      <c r="W617" s="581"/>
      <c r="X617" s="581"/>
      <c r="Y617" s="596"/>
      <c r="Z617" s="575"/>
      <c r="AA617" s="596"/>
      <c r="AB617" s="587"/>
      <c r="AC617" s="576"/>
      <c r="AD617" s="596"/>
      <c r="AE617" s="575"/>
      <c r="AF617" s="666"/>
      <c r="AG617" s="822"/>
      <c r="AH617" s="822"/>
      <c r="AI617" s="822"/>
      <c r="AJ617" s="822"/>
      <c r="AK617" s="806"/>
      <c r="AL617" s="806"/>
      <c r="AM617" s="806"/>
      <c r="AN617" s="806"/>
      <c r="AO617" s="806"/>
      <c r="AP617" s="806"/>
      <c r="AQ617" s="806"/>
      <c r="AR617" s="806"/>
      <c r="AS617" s="806"/>
      <c r="AT617" s="806"/>
      <c r="AU617" s="806"/>
      <c r="AV617" s="806"/>
      <c r="AW617" s="806"/>
      <c r="AX617" s="806"/>
      <c r="AY617" s="806"/>
    </row>
    <row r="618" spans="1:51" ht="28.9" customHeight="1" x14ac:dyDescent="0.25">
      <c r="A618" s="828"/>
      <c r="B618" s="822"/>
      <c r="C618" s="822"/>
      <c r="D618" s="579" t="s">
        <v>351</v>
      </c>
      <c r="E618" s="582"/>
      <c r="F618" s="582"/>
      <c r="G618" s="582"/>
      <c r="H618" s="582"/>
      <c r="I618" s="580"/>
      <c r="J618" s="580"/>
      <c r="K618" s="580"/>
      <c r="L618" s="580"/>
      <c r="M618" s="580"/>
      <c r="N618" s="581"/>
      <c r="O618" s="580"/>
      <c r="P618" s="580"/>
      <c r="Q618" s="580"/>
      <c r="R618" s="580"/>
      <c r="S618" s="580"/>
      <c r="T618" s="581"/>
      <c r="U618" s="581"/>
      <c r="V618" s="580"/>
      <c r="W618" s="581"/>
      <c r="X618" s="581"/>
      <c r="Y618" s="580"/>
      <c r="Z618" s="580"/>
      <c r="AA618" s="581"/>
      <c r="AB618" s="587"/>
      <c r="AC618" s="576"/>
      <c r="AD618" s="588"/>
      <c r="AE618" s="580"/>
      <c r="AF618" s="666"/>
      <c r="AG618" s="822"/>
      <c r="AH618" s="822"/>
      <c r="AI618" s="822"/>
      <c r="AJ618" s="822"/>
      <c r="AK618" s="806"/>
      <c r="AL618" s="806"/>
      <c r="AM618" s="806"/>
      <c r="AN618" s="806"/>
      <c r="AO618" s="806"/>
      <c r="AP618" s="806"/>
      <c r="AQ618" s="806"/>
      <c r="AR618" s="806"/>
      <c r="AS618" s="806"/>
      <c r="AT618" s="806"/>
      <c r="AU618" s="806"/>
      <c r="AV618" s="806"/>
      <c r="AW618" s="806"/>
      <c r="AX618" s="806"/>
      <c r="AY618" s="806"/>
    </row>
    <row r="619" spans="1:51" ht="28.9" customHeight="1" x14ac:dyDescent="0.25">
      <c r="A619" s="828"/>
      <c r="B619" s="822"/>
      <c r="C619" s="822"/>
      <c r="D619" s="578" t="s">
        <v>352</v>
      </c>
      <c r="E619" s="582"/>
      <c r="F619" s="582"/>
      <c r="G619" s="582"/>
      <c r="H619" s="582">
        <v>2397454</v>
      </c>
      <c r="I619" s="580">
        <v>2397454</v>
      </c>
      <c r="J619" s="580">
        <v>2397454</v>
      </c>
      <c r="K619" s="580">
        <v>2397454</v>
      </c>
      <c r="L619" s="580">
        <v>2397454</v>
      </c>
      <c r="M619" s="596">
        <f t="shared" ref="M619:O619" si="176">+M535-Z535</f>
        <v>2287165</v>
      </c>
      <c r="N619" s="596">
        <f t="shared" si="176"/>
        <v>2287165</v>
      </c>
      <c r="O619" s="596">
        <f t="shared" si="176"/>
        <v>2287165</v>
      </c>
      <c r="P619" s="580">
        <v>5980</v>
      </c>
      <c r="Q619" s="580">
        <v>5980</v>
      </c>
      <c r="R619" s="580">
        <v>0</v>
      </c>
      <c r="S619" s="580"/>
      <c r="T619" s="581"/>
      <c r="U619" s="581"/>
      <c r="V619" s="580"/>
      <c r="W619" s="581"/>
      <c r="X619" s="581"/>
      <c r="Y619" s="580"/>
      <c r="Z619" s="596"/>
      <c r="AA619" s="581"/>
      <c r="AB619" s="587"/>
      <c r="AC619" s="576"/>
      <c r="AD619" s="588"/>
      <c r="AE619" s="580"/>
      <c r="AF619" s="666"/>
      <c r="AG619" s="822"/>
      <c r="AH619" s="822"/>
      <c r="AI619" s="822"/>
      <c r="AJ619" s="822"/>
      <c r="AK619" s="806"/>
      <c r="AL619" s="806"/>
      <c r="AM619" s="806"/>
      <c r="AN619" s="806"/>
      <c r="AO619" s="806"/>
      <c r="AP619" s="806"/>
      <c r="AQ619" s="806"/>
      <c r="AR619" s="806"/>
      <c r="AS619" s="806"/>
      <c r="AT619" s="806"/>
      <c r="AU619" s="806"/>
      <c r="AV619" s="806"/>
      <c r="AW619" s="806"/>
      <c r="AX619" s="806"/>
      <c r="AY619" s="806"/>
    </row>
    <row r="620" spans="1:51" ht="28.9" customHeight="1" x14ac:dyDescent="0.25">
      <c r="A620" s="828"/>
      <c r="B620" s="822"/>
      <c r="C620" s="822"/>
      <c r="D620" s="579" t="s">
        <v>353</v>
      </c>
      <c r="E620" s="582"/>
      <c r="F620" s="582"/>
      <c r="G620" s="582"/>
      <c r="H620" s="582">
        <v>32</v>
      </c>
      <c r="I620" s="580">
        <v>28</v>
      </c>
      <c r="J620" s="580">
        <v>24</v>
      </c>
      <c r="K620" s="580">
        <v>20</v>
      </c>
      <c r="L620" s="580">
        <v>17</v>
      </c>
      <c r="M620" s="580">
        <v>14</v>
      </c>
      <c r="N620" s="581">
        <v>11</v>
      </c>
      <c r="O620" s="580">
        <v>8</v>
      </c>
      <c r="P620" s="580">
        <v>5</v>
      </c>
      <c r="Q620" s="580">
        <v>2</v>
      </c>
      <c r="R620" s="580"/>
      <c r="S620" s="580"/>
      <c r="T620" s="581"/>
      <c r="U620" s="581"/>
      <c r="V620" s="580"/>
      <c r="W620" s="581"/>
      <c r="X620" s="581"/>
      <c r="Y620" s="580"/>
      <c r="Z620" s="580"/>
      <c r="AA620" s="581"/>
      <c r="AB620" s="599"/>
      <c r="AC620" s="576"/>
      <c r="AD620" s="588"/>
      <c r="AE620" s="580"/>
      <c r="AF620" s="666"/>
      <c r="AG620" s="822"/>
      <c r="AH620" s="822"/>
      <c r="AI620" s="822"/>
      <c r="AJ620" s="822"/>
      <c r="AK620" s="806"/>
      <c r="AL620" s="806"/>
      <c r="AM620" s="806"/>
      <c r="AN620" s="806"/>
      <c r="AO620" s="806"/>
      <c r="AP620" s="806"/>
      <c r="AQ620" s="806"/>
      <c r="AR620" s="806"/>
      <c r="AS620" s="806"/>
      <c r="AT620" s="806"/>
      <c r="AU620" s="806"/>
      <c r="AV620" s="806"/>
      <c r="AW620" s="806"/>
      <c r="AX620" s="806"/>
      <c r="AY620" s="806"/>
    </row>
    <row r="621" spans="1:51" ht="28.9" customHeight="1" x14ac:dyDescent="0.25">
      <c r="A621" s="828"/>
      <c r="B621" s="822"/>
      <c r="C621" s="823"/>
      <c r="D621" s="578" t="s">
        <v>354</v>
      </c>
      <c r="E621" s="582"/>
      <c r="F621" s="582"/>
      <c r="G621" s="597"/>
      <c r="H621" s="583">
        <v>76924454</v>
      </c>
      <c r="I621" s="575">
        <v>76924454</v>
      </c>
      <c r="J621" s="575">
        <v>45361454</v>
      </c>
      <c r="K621" s="575">
        <v>45361454</v>
      </c>
      <c r="L621" s="575">
        <v>45361454</v>
      </c>
      <c r="M621" s="596">
        <f t="shared" ref="M621:R621" si="177">+M617+M619</f>
        <v>17350965</v>
      </c>
      <c r="N621" s="596">
        <f t="shared" si="177"/>
        <v>17350965</v>
      </c>
      <c r="O621" s="596">
        <f t="shared" si="177"/>
        <v>17350965</v>
      </c>
      <c r="P621" s="596">
        <f t="shared" si="177"/>
        <v>18450013</v>
      </c>
      <c r="Q621" s="596">
        <f t="shared" si="177"/>
        <v>19478780</v>
      </c>
      <c r="R621" s="596">
        <f t="shared" si="177"/>
        <v>0</v>
      </c>
      <c r="S621" s="596"/>
      <c r="T621" s="581"/>
      <c r="U621" s="581"/>
      <c r="V621" s="596"/>
      <c r="W621" s="581"/>
      <c r="X621" s="581"/>
      <c r="Y621" s="581"/>
      <c r="Z621" s="596"/>
      <c r="AA621" s="581"/>
      <c r="AB621" s="599"/>
      <c r="AC621" s="576"/>
      <c r="AD621" s="596"/>
      <c r="AE621" s="596"/>
      <c r="AF621" s="666"/>
      <c r="AG621" s="823"/>
      <c r="AH621" s="823"/>
      <c r="AI621" s="823"/>
      <c r="AJ621" s="823"/>
      <c r="AK621" s="807"/>
      <c r="AL621" s="807"/>
      <c r="AM621" s="807"/>
      <c r="AN621" s="807"/>
      <c r="AO621" s="807"/>
      <c r="AP621" s="807"/>
      <c r="AQ621" s="807"/>
      <c r="AR621" s="807"/>
      <c r="AS621" s="807"/>
      <c r="AT621" s="807"/>
      <c r="AU621" s="807"/>
      <c r="AV621" s="807"/>
      <c r="AW621" s="807"/>
      <c r="AX621" s="807"/>
      <c r="AY621" s="807"/>
    </row>
    <row r="622" spans="1:51" ht="19.149999999999999" customHeight="1" x14ac:dyDescent="0.25">
      <c r="A622" s="828"/>
      <c r="B622" s="822"/>
      <c r="C622" s="821" t="s">
        <v>599</v>
      </c>
      <c r="D622" s="572" t="s">
        <v>345</v>
      </c>
      <c r="E622" s="582">
        <v>34</v>
      </c>
      <c r="F622" s="582">
        <v>34</v>
      </c>
      <c r="G622" s="582">
        <v>34</v>
      </c>
      <c r="H622" s="582">
        <v>32</v>
      </c>
      <c r="I622" s="580" t="s">
        <v>890</v>
      </c>
      <c r="J622" s="580">
        <v>34</v>
      </c>
      <c r="K622" s="580">
        <v>34</v>
      </c>
      <c r="L622" s="580">
        <v>34</v>
      </c>
      <c r="M622" s="580">
        <f t="shared" ref="M622:M627" si="178">+M538+M544+M550+M562+M568+M574+M580+M586+M592+M598+M610+M616</f>
        <v>34</v>
      </c>
      <c r="N622" s="580">
        <f t="shared" ref="N622:N627" si="179">+N538+N544+N550+N562+N568+N574+N580+N586+N592+N598+N604+N610+N616</f>
        <v>34</v>
      </c>
      <c r="O622" s="580">
        <f t="shared" ref="O622:R627" si="180">+O538+O544+O550+O556+O562+O568+O574+O580+O586+O592+O598+O604+O610+O616</f>
        <v>34</v>
      </c>
      <c r="P622" s="580">
        <f t="shared" si="180"/>
        <v>34</v>
      </c>
      <c r="Q622" s="580">
        <f t="shared" si="180"/>
        <v>34</v>
      </c>
      <c r="R622" s="580">
        <f t="shared" si="180"/>
        <v>34</v>
      </c>
      <c r="S622" s="580"/>
      <c r="T622" s="580">
        <v>0</v>
      </c>
      <c r="U622" s="580">
        <v>0</v>
      </c>
      <c r="V622" s="580">
        <v>6</v>
      </c>
      <c r="W622" s="580">
        <v>10</v>
      </c>
      <c r="X622" s="580">
        <v>14</v>
      </c>
      <c r="Y622" s="580">
        <v>17</v>
      </c>
      <c r="Z622" s="580">
        <f t="shared" ref="Z622:Z627" si="181">+Z538+Z544+Z550+Z562+Z568+Z574+Z580+Z586+Z592+Z598+Z610+Z616</f>
        <v>20</v>
      </c>
      <c r="AA622" s="580">
        <f t="shared" ref="AA622:AA627" si="182">+AA538+AA544+AA550+AA562+AA568+AA574+AA580+AA586+AA592+AA598+AA604+AA610+AA616</f>
        <v>23</v>
      </c>
      <c r="AB622" s="580">
        <f t="shared" ref="AB622:AE627" si="183">+AB538+AB544+AB550+AB556+AB562+AB568+AB574+AB580+AB586+AB592+AB598+AB604+AB610+AB616</f>
        <v>26</v>
      </c>
      <c r="AC622" s="580">
        <f t="shared" si="183"/>
        <v>29</v>
      </c>
      <c r="AD622" s="580">
        <f t="shared" si="183"/>
        <v>32</v>
      </c>
      <c r="AE622" s="580">
        <f t="shared" si="183"/>
        <v>34</v>
      </c>
      <c r="AF622" s="666"/>
      <c r="AG622" s="821" t="s">
        <v>489</v>
      </c>
      <c r="AH622" s="824" t="s">
        <v>178</v>
      </c>
      <c r="AI622" s="824" t="s">
        <v>178</v>
      </c>
      <c r="AJ622" s="824" t="s">
        <v>178</v>
      </c>
      <c r="AK622" s="825" t="s">
        <v>490</v>
      </c>
      <c r="AL622" s="826" t="s">
        <v>178</v>
      </c>
      <c r="AM622" s="826" t="s">
        <v>752</v>
      </c>
      <c r="AN622" s="820">
        <v>7968095</v>
      </c>
      <c r="AO622" s="820">
        <v>3815676</v>
      </c>
      <c r="AP622" s="820">
        <v>4152419</v>
      </c>
      <c r="AQ622" s="844" t="s">
        <v>492</v>
      </c>
      <c r="AR622" s="844" t="s">
        <v>492</v>
      </c>
      <c r="AS622" s="844" t="s">
        <v>492</v>
      </c>
      <c r="AT622" s="844" t="s">
        <v>492</v>
      </c>
      <c r="AU622" s="844" t="s">
        <v>492</v>
      </c>
      <c r="AV622" s="844" t="s">
        <v>492</v>
      </c>
      <c r="AW622" s="844" t="s">
        <v>492</v>
      </c>
      <c r="AX622" s="808">
        <v>7878913</v>
      </c>
      <c r="AY622" s="845" t="s">
        <v>837</v>
      </c>
    </row>
    <row r="623" spans="1:51" ht="19.149999999999999" customHeight="1" x14ac:dyDescent="0.25">
      <c r="A623" s="828"/>
      <c r="B623" s="822"/>
      <c r="C623" s="822"/>
      <c r="D623" s="578" t="s">
        <v>349</v>
      </c>
      <c r="E623" s="582">
        <v>360437000</v>
      </c>
      <c r="F623" s="582">
        <v>360437000</v>
      </c>
      <c r="G623" s="582">
        <v>360437000</v>
      </c>
      <c r="H623" s="582">
        <v>74527000</v>
      </c>
      <c r="I623" s="580" t="s">
        <v>890</v>
      </c>
      <c r="J623" s="580">
        <v>360437000</v>
      </c>
      <c r="K623" s="580">
        <v>360437000.00000006</v>
      </c>
      <c r="L623" s="580">
        <v>360437000.00000006</v>
      </c>
      <c r="M623" s="580">
        <f t="shared" si="178"/>
        <v>332536800</v>
      </c>
      <c r="N623" s="580">
        <f t="shared" si="179"/>
        <v>295905300</v>
      </c>
      <c r="O623" s="580">
        <f t="shared" si="180"/>
        <v>332536800</v>
      </c>
      <c r="P623" s="580">
        <f t="shared" si="180"/>
        <v>335917033</v>
      </c>
      <c r="Q623" s="580">
        <f t="shared" si="180"/>
        <v>336945800</v>
      </c>
      <c r="R623" s="580">
        <f t="shared" si="180"/>
        <v>336945800</v>
      </c>
      <c r="S623" s="580"/>
      <c r="T623" s="580">
        <v>0</v>
      </c>
      <c r="U623" s="580">
        <v>0</v>
      </c>
      <c r="V623" s="580">
        <v>117331999.99999999</v>
      </c>
      <c r="W623" s="580">
        <v>317473000</v>
      </c>
      <c r="X623" s="580">
        <v>317473000.00000006</v>
      </c>
      <c r="Y623" s="580">
        <v>317473000.00000006</v>
      </c>
      <c r="Z623" s="580">
        <f t="shared" si="181"/>
        <v>317473000</v>
      </c>
      <c r="AA623" s="580">
        <f t="shared" si="182"/>
        <v>280841500</v>
      </c>
      <c r="AB623" s="580">
        <f t="shared" si="183"/>
        <v>317473000</v>
      </c>
      <c r="AC623" s="580">
        <f t="shared" si="183"/>
        <v>317473000</v>
      </c>
      <c r="AD623" s="580">
        <f t="shared" si="183"/>
        <v>317473000</v>
      </c>
      <c r="AE623" s="580">
        <f t="shared" si="183"/>
        <v>336945800</v>
      </c>
      <c r="AF623" s="666"/>
      <c r="AG623" s="822"/>
      <c r="AH623" s="822"/>
      <c r="AI623" s="822"/>
      <c r="AJ623" s="822"/>
      <c r="AK623" s="806"/>
      <c r="AL623" s="806"/>
      <c r="AM623" s="806"/>
      <c r="AN623" s="806"/>
      <c r="AO623" s="806"/>
      <c r="AP623" s="806"/>
      <c r="AQ623" s="806"/>
      <c r="AR623" s="806"/>
      <c r="AS623" s="806"/>
      <c r="AT623" s="806"/>
      <c r="AU623" s="806"/>
      <c r="AV623" s="806"/>
      <c r="AW623" s="806"/>
      <c r="AX623" s="806"/>
      <c r="AY623" s="806"/>
    </row>
    <row r="624" spans="1:51" ht="28.9" customHeight="1" x14ac:dyDescent="0.25">
      <c r="A624" s="828"/>
      <c r="B624" s="822"/>
      <c r="C624" s="822"/>
      <c r="D624" s="579" t="s">
        <v>351</v>
      </c>
      <c r="E624" s="582">
        <v>0</v>
      </c>
      <c r="F624" s="582">
        <v>0</v>
      </c>
      <c r="G624" s="582">
        <v>0</v>
      </c>
      <c r="H624" s="582">
        <v>0</v>
      </c>
      <c r="I624" s="580" t="s">
        <v>890</v>
      </c>
      <c r="J624" s="580">
        <v>0</v>
      </c>
      <c r="K624" s="580">
        <v>0</v>
      </c>
      <c r="L624" s="580">
        <v>0</v>
      </c>
      <c r="M624" s="580">
        <f t="shared" si="178"/>
        <v>0</v>
      </c>
      <c r="N624" s="580">
        <f t="shared" si="179"/>
        <v>0</v>
      </c>
      <c r="O624" s="580">
        <f t="shared" si="180"/>
        <v>0</v>
      </c>
      <c r="P624" s="580">
        <f t="shared" si="180"/>
        <v>0</v>
      </c>
      <c r="Q624" s="580">
        <f t="shared" si="180"/>
        <v>0</v>
      </c>
      <c r="R624" s="580">
        <f t="shared" si="180"/>
        <v>0</v>
      </c>
      <c r="S624" s="580"/>
      <c r="T624" s="580">
        <v>0</v>
      </c>
      <c r="U624" s="580">
        <v>0</v>
      </c>
      <c r="V624" s="580">
        <v>0</v>
      </c>
      <c r="W624" s="580">
        <v>0</v>
      </c>
      <c r="X624" s="580">
        <v>0</v>
      </c>
      <c r="Y624" s="580">
        <v>0</v>
      </c>
      <c r="Z624" s="580">
        <f t="shared" si="181"/>
        <v>0</v>
      </c>
      <c r="AA624" s="580">
        <f t="shared" si="182"/>
        <v>0</v>
      </c>
      <c r="AB624" s="580">
        <f t="shared" si="183"/>
        <v>0</v>
      </c>
      <c r="AC624" s="580">
        <f t="shared" si="183"/>
        <v>0</v>
      </c>
      <c r="AD624" s="580">
        <f t="shared" si="183"/>
        <v>0</v>
      </c>
      <c r="AE624" s="580">
        <f t="shared" si="183"/>
        <v>0</v>
      </c>
      <c r="AF624" s="666"/>
      <c r="AG624" s="822"/>
      <c r="AH624" s="822"/>
      <c r="AI624" s="822"/>
      <c r="AJ624" s="822"/>
      <c r="AK624" s="806"/>
      <c r="AL624" s="806"/>
      <c r="AM624" s="806"/>
      <c r="AN624" s="806"/>
      <c r="AO624" s="806"/>
      <c r="AP624" s="806"/>
      <c r="AQ624" s="806"/>
      <c r="AR624" s="806"/>
      <c r="AS624" s="806"/>
      <c r="AT624" s="806"/>
      <c r="AU624" s="806"/>
      <c r="AV624" s="806"/>
      <c r="AW624" s="806"/>
      <c r="AX624" s="806"/>
      <c r="AY624" s="806"/>
    </row>
    <row r="625" spans="1:51" ht="28.9" customHeight="1" x14ac:dyDescent="0.25">
      <c r="A625" s="828"/>
      <c r="B625" s="822"/>
      <c r="C625" s="822"/>
      <c r="D625" s="578" t="s">
        <v>352</v>
      </c>
      <c r="E625" s="582">
        <v>22762145</v>
      </c>
      <c r="F625" s="582">
        <v>22762145</v>
      </c>
      <c r="G625" s="582">
        <v>22762145</v>
      </c>
      <c r="H625" s="582">
        <v>2397454</v>
      </c>
      <c r="I625" s="580" t="s">
        <v>890</v>
      </c>
      <c r="J625" s="580">
        <v>22762145</v>
      </c>
      <c r="K625" s="580">
        <v>22762145</v>
      </c>
      <c r="L625" s="580">
        <v>22762145</v>
      </c>
      <c r="M625" s="580">
        <f t="shared" si="178"/>
        <v>22762144.999999996</v>
      </c>
      <c r="N625" s="580">
        <f t="shared" si="179"/>
        <v>22762144.999999996</v>
      </c>
      <c r="O625" s="580">
        <f t="shared" si="180"/>
        <v>22762144.999999996</v>
      </c>
      <c r="P625" s="580">
        <f t="shared" si="180"/>
        <v>22762145</v>
      </c>
      <c r="Q625" s="580">
        <f t="shared" si="180"/>
        <v>22762145</v>
      </c>
      <c r="R625" s="580">
        <f t="shared" si="180"/>
        <v>22756165</v>
      </c>
      <c r="S625" s="580"/>
      <c r="T625" s="580">
        <v>15222533</v>
      </c>
      <c r="U625" s="580">
        <v>0</v>
      </c>
      <c r="V625" s="580">
        <v>5506490.2857142854</v>
      </c>
      <c r="W625" s="580">
        <v>20364691</v>
      </c>
      <c r="X625" s="580">
        <v>20364691</v>
      </c>
      <c r="Y625" s="580">
        <v>20364691</v>
      </c>
      <c r="Z625" s="580">
        <f t="shared" si="181"/>
        <v>20474979.999999996</v>
      </c>
      <c r="AA625" s="580">
        <f t="shared" si="182"/>
        <v>20474979.999999996</v>
      </c>
      <c r="AB625" s="580">
        <f t="shared" si="183"/>
        <v>20474979.999999996</v>
      </c>
      <c r="AC625" s="580">
        <f t="shared" si="183"/>
        <v>22756165</v>
      </c>
      <c r="AD625" s="580">
        <f t="shared" si="183"/>
        <v>22756165</v>
      </c>
      <c r="AE625" s="580">
        <f t="shared" si="183"/>
        <v>22756165</v>
      </c>
      <c r="AF625" s="666"/>
      <c r="AG625" s="822"/>
      <c r="AH625" s="822"/>
      <c r="AI625" s="822"/>
      <c r="AJ625" s="822"/>
      <c r="AK625" s="806"/>
      <c r="AL625" s="806"/>
      <c r="AM625" s="806"/>
      <c r="AN625" s="806"/>
      <c r="AO625" s="806"/>
      <c r="AP625" s="806"/>
      <c r="AQ625" s="806"/>
      <c r="AR625" s="806"/>
      <c r="AS625" s="806"/>
      <c r="AT625" s="806"/>
      <c r="AU625" s="806"/>
      <c r="AV625" s="806"/>
      <c r="AW625" s="806"/>
      <c r="AX625" s="806"/>
      <c r="AY625" s="806"/>
    </row>
    <row r="626" spans="1:51" ht="28.9" customHeight="1" x14ac:dyDescent="0.25">
      <c r="A626" s="828"/>
      <c r="B626" s="822"/>
      <c r="C626" s="822"/>
      <c r="D626" s="579" t="s">
        <v>353</v>
      </c>
      <c r="E626" s="582">
        <v>34</v>
      </c>
      <c r="F626" s="582">
        <v>34</v>
      </c>
      <c r="G626" s="582">
        <v>34</v>
      </c>
      <c r="H626" s="582">
        <v>32</v>
      </c>
      <c r="I626" s="580" t="s">
        <v>890</v>
      </c>
      <c r="J626" s="580">
        <v>34</v>
      </c>
      <c r="K626" s="580">
        <v>34</v>
      </c>
      <c r="L626" s="580">
        <v>34</v>
      </c>
      <c r="M626" s="580">
        <f t="shared" si="178"/>
        <v>34</v>
      </c>
      <c r="N626" s="580">
        <f t="shared" si="179"/>
        <v>34</v>
      </c>
      <c r="O626" s="580">
        <f t="shared" si="180"/>
        <v>34</v>
      </c>
      <c r="P626" s="580">
        <f t="shared" si="180"/>
        <v>34</v>
      </c>
      <c r="Q626" s="580">
        <f t="shared" si="180"/>
        <v>34</v>
      </c>
      <c r="R626" s="580">
        <f t="shared" si="180"/>
        <v>34</v>
      </c>
      <c r="S626" s="580"/>
      <c r="T626" s="580">
        <v>0</v>
      </c>
      <c r="U626" s="580">
        <v>0</v>
      </c>
      <c r="V626" s="580">
        <v>6</v>
      </c>
      <c r="W626" s="580">
        <v>10</v>
      </c>
      <c r="X626" s="580">
        <v>14</v>
      </c>
      <c r="Y626" s="580">
        <v>17</v>
      </c>
      <c r="Z626" s="580">
        <f t="shared" si="181"/>
        <v>20</v>
      </c>
      <c r="AA626" s="580">
        <f t="shared" si="182"/>
        <v>23</v>
      </c>
      <c r="AB626" s="580">
        <f t="shared" si="183"/>
        <v>26</v>
      </c>
      <c r="AC626" s="580">
        <f t="shared" si="183"/>
        <v>29</v>
      </c>
      <c r="AD626" s="580">
        <f t="shared" si="183"/>
        <v>32</v>
      </c>
      <c r="AE626" s="580">
        <f t="shared" si="183"/>
        <v>34</v>
      </c>
      <c r="AF626" s="666"/>
      <c r="AG626" s="822"/>
      <c r="AH626" s="822"/>
      <c r="AI626" s="822"/>
      <c r="AJ626" s="822"/>
      <c r="AK626" s="806"/>
      <c r="AL626" s="806"/>
      <c r="AM626" s="806"/>
      <c r="AN626" s="806"/>
      <c r="AO626" s="806"/>
      <c r="AP626" s="806"/>
      <c r="AQ626" s="806"/>
      <c r="AR626" s="806"/>
      <c r="AS626" s="806"/>
      <c r="AT626" s="806"/>
      <c r="AU626" s="806"/>
      <c r="AV626" s="806"/>
      <c r="AW626" s="806"/>
      <c r="AX626" s="806"/>
      <c r="AY626" s="806"/>
    </row>
    <row r="627" spans="1:51" ht="28.9" customHeight="1" thickBot="1" x14ac:dyDescent="0.3">
      <c r="A627" s="829"/>
      <c r="B627" s="832"/>
      <c r="C627" s="823"/>
      <c r="D627" s="578" t="s">
        <v>354</v>
      </c>
      <c r="E627" s="582">
        <v>383199145</v>
      </c>
      <c r="F627" s="582">
        <v>383199145</v>
      </c>
      <c r="G627" s="582">
        <v>383199145</v>
      </c>
      <c r="H627" s="582">
        <v>76924454</v>
      </c>
      <c r="I627" s="580" t="s">
        <v>890</v>
      </c>
      <c r="J627" s="580">
        <v>383199145</v>
      </c>
      <c r="K627" s="580">
        <v>383199145</v>
      </c>
      <c r="L627" s="580">
        <v>383199145</v>
      </c>
      <c r="M627" s="580">
        <f t="shared" si="178"/>
        <v>355298945</v>
      </c>
      <c r="N627" s="580">
        <f t="shared" si="179"/>
        <v>318667445</v>
      </c>
      <c r="O627" s="580">
        <f t="shared" si="180"/>
        <v>355298945</v>
      </c>
      <c r="P627" s="580">
        <f t="shared" si="180"/>
        <v>358679178</v>
      </c>
      <c r="Q627" s="580">
        <f t="shared" si="180"/>
        <v>359707944.99999994</v>
      </c>
      <c r="R627" s="580">
        <f t="shared" si="180"/>
        <v>359701965.00000006</v>
      </c>
      <c r="S627" s="580"/>
      <c r="T627" s="580">
        <v>15222533</v>
      </c>
      <c r="U627" s="580">
        <v>0</v>
      </c>
      <c r="V627" s="580">
        <v>122838490.2857143</v>
      </c>
      <c r="W627" s="580">
        <v>337837691</v>
      </c>
      <c r="X627" s="580">
        <v>337837691</v>
      </c>
      <c r="Y627" s="580">
        <v>337837691</v>
      </c>
      <c r="Z627" s="580">
        <f t="shared" si="181"/>
        <v>337947980</v>
      </c>
      <c r="AA627" s="580">
        <f t="shared" si="182"/>
        <v>301316480</v>
      </c>
      <c r="AB627" s="580">
        <f t="shared" si="183"/>
        <v>337947980</v>
      </c>
      <c r="AC627" s="580">
        <f t="shared" si="183"/>
        <v>340229165</v>
      </c>
      <c r="AD627" s="580">
        <f t="shared" si="183"/>
        <v>340229164.99999994</v>
      </c>
      <c r="AE627" s="580">
        <f t="shared" si="183"/>
        <v>359701965.00000006</v>
      </c>
      <c r="AF627" s="666"/>
      <c r="AG627" s="823"/>
      <c r="AH627" s="823"/>
      <c r="AI627" s="823"/>
      <c r="AJ627" s="823"/>
      <c r="AK627" s="807"/>
      <c r="AL627" s="807"/>
      <c r="AM627" s="807"/>
      <c r="AN627" s="807"/>
      <c r="AO627" s="807"/>
      <c r="AP627" s="807"/>
      <c r="AQ627" s="807"/>
      <c r="AR627" s="807"/>
      <c r="AS627" s="807"/>
      <c r="AT627" s="807"/>
      <c r="AU627" s="807"/>
      <c r="AV627" s="807"/>
      <c r="AW627" s="807"/>
      <c r="AX627" s="807"/>
      <c r="AY627" s="807"/>
    </row>
    <row r="628" spans="1:51" ht="19.149999999999999" customHeight="1" x14ac:dyDescent="0.25">
      <c r="A628" s="827">
        <v>7</v>
      </c>
      <c r="B628" s="830" t="s">
        <v>891</v>
      </c>
      <c r="C628" s="821" t="s">
        <v>892</v>
      </c>
      <c r="D628" s="572" t="s">
        <v>345</v>
      </c>
      <c r="E628" s="582">
        <v>3.44</v>
      </c>
      <c r="F628" s="582">
        <v>3.44</v>
      </c>
      <c r="G628" s="582">
        <v>3.44</v>
      </c>
      <c r="H628" s="629">
        <v>3.4390000000000005</v>
      </c>
      <c r="I628" s="611">
        <v>3.4390000000000005</v>
      </c>
      <c r="J628" s="611">
        <v>3.4390000000000005</v>
      </c>
      <c r="K628" s="611">
        <v>3.4390000000000005</v>
      </c>
      <c r="L628" s="611">
        <v>3.4390000000000005</v>
      </c>
      <c r="M628" s="580">
        <v>3.4390000000000005</v>
      </c>
      <c r="N628" s="580">
        <v>3.4390000000000005</v>
      </c>
      <c r="O628" s="630">
        <v>3.4390000000000005</v>
      </c>
      <c r="P628" s="580">
        <v>3.4390000000000005</v>
      </c>
      <c r="Q628" s="580">
        <v>3.4390000000000005</v>
      </c>
      <c r="R628" s="580">
        <v>3.4390000000000005</v>
      </c>
      <c r="S628" s="580"/>
      <c r="T628" s="593">
        <v>0.04</v>
      </c>
      <c r="U628" s="612">
        <v>0.34899999999999998</v>
      </c>
      <c r="V628" s="612">
        <v>0.65799999999999992</v>
      </c>
      <c r="W628" s="612">
        <v>0.96699999999999986</v>
      </c>
      <c r="X628" s="612">
        <v>1.2759999999999998</v>
      </c>
      <c r="Y628" s="612">
        <v>1.5849999999999997</v>
      </c>
      <c r="Z628" s="612">
        <v>1.8849999999999998</v>
      </c>
      <c r="AA628" s="612">
        <v>2.1849999999999996</v>
      </c>
      <c r="AB628" s="631">
        <v>2.512</v>
      </c>
      <c r="AC628" s="632">
        <v>2.8210000000000002</v>
      </c>
      <c r="AD628" s="576">
        <v>3.1300000000000003</v>
      </c>
      <c r="AE628" s="580">
        <v>3.3360000000000003</v>
      </c>
      <c r="AF628" s="846" t="s">
        <v>893</v>
      </c>
      <c r="AG628" s="821" t="s">
        <v>489</v>
      </c>
      <c r="AH628" s="824" t="s">
        <v>178</v>
      </c>
      <c r="AI628" s="824" t="s">
        <v>178</v>
      </c>
      <c r="AJ628" s="824" t="s">
        <v>178</v>
      </c>
      <c r="AK628" s="825" t="s">
        <v>490</v>
      </c>
      <c r="AL628" s="826" t="s">
        <v>178</v>
      </c>
      <c r="AM628" s="826" t="s">
        <v>752</v>
      </c>
      <c r="AN628" s="820">
        <v>7968095</v>
      </c>
      <c r="AO628" s="820">
        <v>3815676</v>
      </c>
      <c r="AP628" s="820">
        <v>4152419</v>
      </c>
      <c r="AQ628" s="844" t="s">
        <v>492</v>
      </c>
      <c r="AR628" s="844" t="s">
        <v>492</v>
      </c>
      <c r="AS628" s="844" t="s">
        <v>492</v>
      </c>
      <c r="AT628" s="844" t="s">
        <v>492</v>
      </c>
      <c r="AU628" s="844" t="s">
        <v>492</v>
      </c>
      <c r="AV628" s="844" t="s">
        <v>492</v>
      </c>
      <c r="AW628" s="844" t="s">
        <v>492</v>
      </c>
      <c r="AX628" s="808">
        <v>1659291</v>
      </c>
      <c r="AY628" s="845" t="s">
        <v>894</v>
      </c>
    </row>
    <row r="629" spans="1:51" ht="19.149999999999999" customHeight="1" x14ac:dyDescent="0.25">
      <c r="A629" s="828"/>
      <c r="B629" s="822"/>
      <c r="C629" s="822"/>
      <c r="D629" s="578" t="s">
        <v>349</v>
      </c>
      <c r="E629" s="582">
        <v>1275635000</v>
      </c>
      <c r="F629" s="582">
        <v>1275635000</v>
      </c>
      <c r="G629" s="582">
        <v>1275635000</v>
      </c>
      <c r="H629" s="582">
        <v>1275635000</v>
      </c>
      <c r="I629" s="580">
        <v>1275635000</v>
      </c>
      <c r="J629" s="580">
        <v>1275635000</v>
      </c>
      <c r="K629" s="580">
        <v>1275635000</v>
      </c>
      <c r="L629" s="580">
        <v>1275635000</v>
      </c>
      <c r="M629" s="580">
        <v>1245633499</v>
      </c>
      <c r="N629" s="580">
        <v>1245633499</v>
      </c>
      <c r="O629" s="593">
        <v>1245633499</v>
      </c>
      <c r="P629" s="593">
        <v>1255780000</v>
      </c>
      <c r="Q629" s="593">
        <v>1254780000</v>
      </c>
      <c r="R629" s="593">
        <v>1254780000</v>
      </c>
      <c r="S629" s="593"/>
      <c r="T629" s="593">
        <v>0</v>
      </c>
      <c r="U629" s="593">
        <v>355410000</v>
      </c>
      <c r="V629" s="593">
        <v>394540000</v>
      </c>
      <c r="W629" s="593">
        <v>429757000</v>
      </c>
      <c r="X629" s="574">
        <v>429757000</v>
      </c>
      <c r="Y629" s="593">
        <v>429757000</v>
      </c>
      <c r="Z629" s="593">
        <v>974339000</v>
      </c>
      <c r="AA629" s="593">
        <v>974339000</v>
      </c>
      <c r="AB629" s="610">
        <v>974339000</v>
      </c>
      <c r="AC629" s="576">
        <v>974339000</v>
      </c>
      <c r="AD629" s="576">
        <v>1009734000</v>
      </c>
      <c r="AE629" s="593">
        <v>1038138000</v>
      </c>
      <c r="AF629" s="822"/>
      <c r="AG629" s="822"/>
      <c r="AH629" s="822"/>
      <c r="AI629" s="822"/>
      <c r="AJ629" s="822"/>
      <c r="AK629" s="806"/>
      <c r="AL629" s="806"/>
      <c r="AM629" s="806"/>
      <c r="AN629" s="806"/>
      <c r="AO629" s="806"/>
      <c r="AP629" s="806"/>
      <c r="AQ629" s="806"/>
      <c r="AR629" s="806"/>
      <c r="AS629" s="806"/>
      <c r="AT629" s="806"/>
      <c r="AU629" s="806"/>
      <c r="AV629" s="806"/>
      <c r="AW629" s="806"/>
      <c r="AX629" s="806"/>
      <c r="AY629" s="806"/>
    </row>
    <row r="630" spans="1:51" ht="28.9" customHeight="1" x14ac:dyDescent="0.25">
      <c r="A630" s="828"/>
      <c r="B630" s="822"/>
      <c r="C630" s="822"/>
      <c r="D630" s="579" t="s">
        <v>351</v>
      </c>
      <c r="E630" s="582"/>
      <c r="F630" s="582"/>
      <c r="G630" s="582"/>
      <c r="H630" s="582"/>
      <c r="I630" s="580"/>
      <c r="J630" s="580"/>
      <c r="K630" s="580"/>
      <c r="L630" s="580"/>
      <c r="M630" s="580"/>
      <c r="N630" s="580"/>
      <c r="O630" s="593"/>
      <c r="P630" s="593"/>
      <c r="Q630" s="593"/>
      <c r="R630" s="593"/>
      <c r="S630" s="593"/>
      <c r="T630" s="593"/>
      <c r="U630" s="593"/>
      <c r="V630" s="593"/>
      <c r="W630" s="593"/>
      <c r="X630" s="574"/>
      <c r="Y630" s="574"/>
      <c r="Z630" s="593"/>
      <c r="AA630" s="593"/>
      <c r="AB630" s="610"/>
      <c r="AC630" s="610"/>
      <c r="AD630" s="576"/>
      <c r="AE630" s="593"/>
      <c r="AF630" s="822"/>
      <c r="AG630" s="822"/>
      <c r="AH630" s="822"/>
      <c r="AI630" s="822"/>
      <c r="AJ630" s="822"/>
      <c r="AK630" s="806"/>
      <c r="AL630" s="806"/>
      <c r="AM630" s="806"/>
      <c r="AN630" s="806"/>
      <c r="AO630" s="806"/>
      <c r="AP630" s="806"/>
      <c r="AQ630" s="806"/>
      <c r="AR630" s="806"/>
      <c r="AS630" s="806"/>
      <c r="AT630" s="806"/>
      <c r="AU630" s="806"/>
      <c r="AV630" s="806"/>
      <c r="AW630" s="806"/>
      <c r="AX630" s="806"/>
      <c r="AY630" s="806"/>
    </row>
    <row r="631" spans="1:51" ht="28.9" customHeight="1" x14ac:dyDescent="0.25">
      <c r="A631" s="828"/>
      <c r="B631" s="822"/>
      <c r="C631" s="822"/>
      <c r="D631" s="578" t="s">
        <v>352</v>
      </c>
      <c r="E631" s="582">
        <v>29539233</v>
      </c>
      <c r="F631" s="582">
        <v>29539233</v>
      </c>
      <c r="G631" s="582">
        <v>29539233</v>
      </c>
      <c r="H631" s="582">
        <v>29539233</v>
      </c>
      <c r="I631" s="580">
        <v>29539233</v>
      </c>
      <c r="J631" s="580">
        <v>29539233</v>
      </c>
      <c r="K631" s="580">
        <v>29539233</v>
      </c>
      <c r="L631" s="580">
        <v>29350417</v>
      </c>
      <c r="M631" s="580">
        <v>29350417</v>
      </c>
      <c r="N631" s="580">
        <v>29350417</v>
      </c>
      <c r="O631" s="580">
        <v>29350417</v>
      </c>
      <c r="P631" s="593">
        <v>29350417</v>
      </c>
      <c r="Q631" s="593">
        <v>29350417</v>
      </c>
      <c r="R631" s="593">
        <v>29350417</v>
      </c>
      <c r="S631" s="593"/>
      <c r="T631" s="593">
        <v>29179467</v>
      </c>
      <c r="U631" s="593">
        <v>29236492</v>
      </c>
      <c r="V631" s="593">
        <v>29293817</v>
      </c>
      <c r="W631" s="593">
        <v>29350417</v>
      </c>
      <c r="X631" s="574">
        <v>29350417</v>
      </c>
      <c r="Y631" s="574">
        <v>29350417</v>
      </c>
      <c r="Z631" s="593">
        <v>29350417</v>
      </c>
      <c r="AA631" s="593">
        <v>29350417</v>
      </c>
      <c r="AB631" s="593">
        <v>29350417</v>
      </c>
      <c r="AC631" s="593">
        <v>29350417</v>
      </c>
      <c r="AD631" s="593">
        <v>29350417</v>
      </c>
      <c r="AE631" s="593">
        <v>29350417</v>
      </c>
      <c r="AF631" s="822"/>
      <c r="AG631" s="822"/>
      <c r="AH631" s="822"/>
      <c r="AI631" s="822"/>
      <c r="AJ631" s="822"/>
      <c r="AK631" s="806"/>
      <c r="AL631" s="806"/>
      <c r="AM631" s="806"/>
      <c r="AN631" s="806"/>
      <c r="AO631" s="806"/>
      <c r="AP631" s="806"/>
      <c r="AQ631" s="806"/>
      <c r="AR631" s="806"/>
      <c r="AS631" s="806"/>
      <c r="AT631" s="806"/>
      <c r="AU631" s="806"/>
      <c r="AV631" s="806"/>
      <c r="AW631" s="806"/>
      <c r="AX631" s="806"/>
      <c r="AY631" s="806"/>
    </row>
    <row r="632" spans="1:51" ht="28.9" customHeight="1" x14ac:dyDescent="0.25">
      <c r="A632" s="828"/>
      <c r="B632" s="822"/>
      <c r="C632" s="822"/>
      <c r="D632" s="579" t="s">
        <v>353</v>
      </c>
      <c r="E632" s="582">
        <v>3.44</v>
      </c>
      <c r="F632" s="582">
        <v>3.44</v>
      </c>
      <c r="G632" s="582">
        <v>3.44</v>
      </c>
      <c r="H632" s="629">
        <v>3.4390000000000005</v>
      </c>
      <c r="I632" s="611">
        <v>3.4390000000000005</v>
      </c>
      <c r="J632" s="611">
        <v>3.4390000000000005</v>
      </c>
      <c r="K632" s="611">
        <v>3.4390000000000005</v>
      </c>
      <c r="L632" s="611">
        <v>3.4390000000000005</v>
      </c>
      <c r="M632" s="580">
        <v>3.44</v>
      </c>
      <c r="N632" s="580">
        <v>3.4390000000000005</v>
      </c>
      <c r="O632" s="580">
        <v>3.4390000000000005</v>
      </c>
      <c r="P632" s="593">
        <v>3.4390000000000005</v>
      </c>
      <c r="Q632" s="593">
        <v>3.4390000000000005</v>
      </c>
      <c r="R632" s="593">
        <v>3.4390000000000005</v>
      </c>
      <c r="S632" s="593"/>
      <c r="T632" s="593">
        <v>0.04</v>
      </c>
      <c r="U632" s="593">
        <v>0.34899999999999998</v>
      </c>
      <c r="V632" s="593">
        <v>0.65799999999999992</v>
      </c>
      <c r="W632" s="612">
        <v>0.96699999999999986</v>
      </c>
      <c r="X632" s="612">
        <v>1.2759999999999998</v>
      </c>
      <c r="Y632" s="611">
        <v>1.5849999999999997</v>
      </c>
      <c r="Z632" s="612">
        <v>1.8849999999999998</v>
      </c>
      <c r="AA632" s="612">
        <v>2.1849999999999996</v>
      </c>
      <c r="AB632" s="631">
        <v>2.512</v>
      </c>
      <c r="AC632" s="612">
        <v>2.8210000000000002</v>
      </c>
      <c r="AD632" s="612">
        <v>3.13</v>
      </c>
      <c r="AE632" s="593">
        <v>3.3360000000000003</v>
      </c>
      <c r="AF632" s="822"/>
      <c r="AG632" s="822"/>
      <c r="AH632" s="822"/>
      <c r="AI632" s="822"/>
      <c r="AJ632" s="822"/>
      <c r="AK632" s="806"/>
      <c r="AL632" s="806"/>
      <c r="AM632" s="806"/>
      <c r="AN632" s="806"/>
      <c r="AO632" s="806"/>
      <c r="AP632" s="806"/>
      <c r="AQ632" s="806"/>
      <c r="AR632" s="806"/>
      <c r="AS632" s="806"/>
      <c r="AT632" s="806"/>
      <c r="AU632" s="806"/>
      <c r="AV632" s="806"/>
      <c r="AW632" s="806"/>
      <c r="AX632" s="806"/>
      <c r="AY632" s="806"/>
    </row>
    <row r="633" spans="1:51" ht="28.9" customHeight="1" x14ac:dyDescent="0.25">
      <c r="A633" s="828"/>
      <c r="B633" s="822"/>
      <c r="C633" s="823"/>
      <c r="D633" s="578" t="s">
        <v>354</v>
      </c>
      <c r="E633" s="573">
        <v>1305174233</v>
      </c>
      <c r="F633" s="573">
        <v>1305174233</v>
      </c>
      <c r="G633" s="573">
        <v>1305174233</v>
      </c>
      <c r="H633" s="582">
        <v>1305174233</v>
      </c>
      <c r="I633" s="580">
        <v>1305174233</v>
      </c>
      <c r="J633" s="580">
        <v>1305174233</v>
      </c>
      <c r="K633" s="580">
        <v>1305174233</v>
      </c>
      <c r="L633" s="580">
        <v>1304985417</v>
      </c>
      <c r="M633" s="580">
        <f t="shared" ref="M633:R633" si="184">+M629+M631</f>
        <v>1274983916</v>
      </c>
      <c r="N633" s="580">
        <f t="shared" si="184"/>
        <v>1274983916</v>
      </c>
      <c r="O633" s="580">
        <f t="shared" si="184"/>
        <v>1274983916</v>
      </c>
      <c r="P633" s="580">
        <f t="shared" si="184"/>
        <v>1285130417</v>
      </c>
      <c r="Q633" s="580">
        <f t="shared" si="184"/>
        <v>1284130417</v>
      </c>
      <c r="R633" s="580">
        <f t="shared" si="184"/>
        <v>1284130417</v>
      </c>
      <c r="S633" s="580"/>
      <c r="T633" s="574">
        <v>29179467</v>
      </c>
      <c r="U633" s="593">
        <v>384646492</v>
      </c>
      <c r="V633" s="633">
        <v>423833817</v>
      </c>
      <c r="W633" s="593">
        <v>459107417</v>
      </c>
      <c r="X633" s="593">
        <v>459107417</v>
      </c>
      <c r="Y633" s="580">
        <v>459107417</v>
      </c>
      <c r="Z633" s="580">
        <f t="shared" ref="Z633:AE633" si="185">+Z629+Z631</f>
        <v>1003689417</v>
      </c>
      <c r="AA633" s="580">
        <f t="shared" si="185"/>
        <v>1003689417</v>
      </c>
      <c r="AB633" s="580">
        <f t="shared" si="185"/>
        <v>1003689417</v>
      </c>
      <c r="AC633" s="580">
        <f t="shared" si="185"/>
        <v>1003689417</v>
      </c>
      <c r="AD633" s="580">
        <f t="shared" si="185"/>
        <v>1039084417</v>
      </c>
      <c r="AE633" s="580">
        <f t="shared" si="185"/>
        <v>1067488417</v>
      </c>
      <c r="AF633" s="822"/>
      <c r="AG633" s="823"/>
      <c r="AH633" s="823"/>
      <c r="AI633" s="823"/>
      <c r="AJ633" s="823"/>
      <c r="AK633" s="807"/>
      <c r="AL633" s="807"/>
      <c r="AM633" s="807"/>
      <c r="AN633" s="807"/>
      <c r="AO633" s="807"/>
      <c r="AP633" s="807"/>
      <c r="AQ633" s="807"/>
      <c r="AR633" s="807"/>
      <c r="AS633" s="807"/>
      <c r="AT633" s="807"/>
      <c r="AU633" s="807"/>
      <c r="AV633" s="807"/>
      <c r="AW633" s="807"/>
      <c r="AX633" s="807"/>
      <c r="AY633" s="807"/>
    </row>
    <row r="634" spans="1:51" ht="19.149999999999999" customHeight="1" x14ac:dyDescent="0.25">
      <c r="A634" s="828"/>
      <c r="B634" s="822"/>
      <c r="C634" s="821" t="s">
        <v>599</v>
      </c>
      <c r="D634" s="572" t="s">
        <v>345</v>
      </c>
      <c r="E634" s="582">
        <v>3.44</v>
      </c>
      <c r="F634" s="582">
        <v>3.44</v>
      </c>
      <c r="G634" s="582">
        <v>3.44</v>
      </c>
      <c r="H634" s="629">
        <v>3.4390000000000005</v>
      </c>
      <c r="I634" s="611">
        <v>3.4390000000000005</v>
      </c>
      <c r="J634" s="611">
        <v>3.4390000000000005</v>
      </c>
      <c r="K634" s="580">
        <v>3.4390000000000005</v>
      </c>
      <c r="L634" s="580">
        <v>3.4390000000000005</v>
      </c>
      <c r="M634" s="580">
        <f t="shared" ref="M634:R639" si="186">+M628</f>
        <v>3.4390000000000005</v>
      </c>
      <c r="N634" s="580">
        <f t="shared" si="186"/>
        <v>3.4390000000000005</v>
      </c>
      <c r="O634" s="580">
        <f t="shared" si="186"/>
        <v>3.4390000000000005</v>
      </c>
      <c r="P634" s="580">
        <f t="shared" si="186"/>
        <v>3.4390000000000005</v>
      </c>
      <c r="Q634" s="580">
        <f t="shared" si="186"/>
        <v>3.4390000000000005</v>
      </c>
      <c r="R634" s="580">
        <f t="shared" si="186"/>
        <v>3.4390000000000005</v>
      </c>
      <c r="S634" s="580"/>
      <c r="T634" s="580">
        <v>0.04</v>
      </c>
      <c r="U634" s="611">
        <v>0.34899999999999998</v>
      </c>
      <c r="V634" s="611">
        <v>0.65799999999999992</v>
      </c>
      <c r="W634" s="611">
        <v>0.96699999999999986</v>
      </c>
      <c r="X634" s="611">
        <v>1.2759999999999998</v>
      </c>
      <c r="Y634" s="611">
        <v>1.5849999999999997</v>
      </c>
      <c r="Z634" s="611">
        <f t="shared" ref="Z634:AE639" si="187">+Z628</f>
        <v>1.8849999999999998</v>
      </c>
      <c r="AA634" s="611">
        <f t="shared" si="187"/>
        <v>2.1849999999999996</v>
      </c>
      <c r="AB634" s="611">
        <f t="shared" si="187"/>
        <v>2.512</v>
      </c>
      <c r="AC634" s="611">
        <f t="shared" si="187"/>
        <v>2.8210000000000002</v>
      </c>
      <c r="AD634" s="611">
        <f t="shared" si="187"/>
        <v>3.1300000000000003</v>
      </c>
      <c r="AE634" s="580">
        <f t="shared" si="187"/>
        <v>3.3360000000000003</v>
      </c>
      <c r="AF634" s="822"/>
      <c r="AG634" s="821" t="s">
        <v>489</v>
      </c>
      <c r="AH634" s="824" t="s">
        <v>178</v>
      </c>
      <c r="AI634" s="824" t="s">
        <v>178</v>
      </c>
      <c r="AJ634" s="824" t="s">
        <v>178</v>
      </c>
      <c r="AK634" s="825" t="s">
        <v>490</v>
      </c>
      <c r="AL634" s="826" t="s">
        <v>178</v>
      </c>
      <c r="AM634" s="826" t="s">
        <v>752</v>
      </c>
      <c r="AN634" s="820">
        <v>7968095</v>
      </c>
      <c r="AO634" s="820">
        <v>3815676</v>
      </c>
      <c r="AP634" s="820">
        <v>4152419</v>
      </c>
      <c r="AQ634" s="805" t="s">
        <v>492</v>
      </c>
      <c r="AR634" s="805" t="s">
        <v>492</v>
      </c>
      <c r="AS634" s="805" t="s">
        <v>492</v>
      </c>
      <c r="AT634" s="805" t="s">
        <v>492</v>
      </c>
      <c r="AU634" s="805" t="s">
        <v>492</v>
      </c>
      <c r="AV634" s="805" t="s">
        <v>492</v>
      </c>
      <c r="AW634" s="805" t="s">
        <v>492</v>
      </c>
      <c r="AX634" s="808">
        <v>7804660</v>
      </c>
      <c r="AY634" s="843"/>
    </row>
    <row r="635" spans="1:51" ht="19.149999999999999" customHeight="1" x14ac:dyDescent="0.25">
      <c r="A635" s="828"/>
      <c r="B635" s="822"/>
      <c r="C635" s="822"/>
      <c r="D635" s="578" t="s">
        <v>349</v>
      </c>
      <c r="E635" s="582">
        <v>1275635000</v>
      </c>
      <c r="F635" s="582">
        <v>1275635000</v>
      </c>
      <c r="G635" s="582">
        <v>1275635000</v>
      </c>
      <c r="H635" s="582">
        <v>1275635000</v>
      </c>
      <c r="I635" s="580">
        <v>1275635000</v>
      </c>
      <c r="J635" s="580">
        <v>1275635000</v>
      </c>
      <c r="K635" s="580">
        <v>1275635000</v>
      </c>
      <c r="L635" s="580">
        <v>1275635000</v>
      </c>
      <c r="M635" s="580">
        <f t="shared" si="186"/>
        <v>1245633499</v>
      </c>
      <c r="N635" s="580">
        <f t="shared" si="186"/>
        <v>1245633499</v>
      </c>
      <c r="O635" s="580">
        <f t="shared" si="186"/>
        <v>1245633499</v>
      </c>
      <c r="P635" s="580">
        <f t="shared" si="186"/>
        <v>1255780000</v>
      </c>
      <c r="Q635" s="580">
        <f t="shared" si="186"/>
        <v>1254780000</v>
      </c>
      <c r="R635" s="580">
        <f t="shared" si="186"/>
        <v>1254780000</v>
      </c>
      <c r="S635" s="580"/>
      <c r="T635" s="580">
        <v>0</v>
      </c>
      <c r="U635" s="574">
        <v>355410000</v>
      </c>
      <c r="V635" s="574">
        <v>394540000</v>
      </c>
      <c r="W635" s="611">
        <v>429757000</v>
      </c>
      <c r="X635" s="611">
        <v>429757000</v>
      </c>
      <c r="Y635" s="611">
        <v>429757000</v>
      </c>
      <c r="Z635" s="611">
        <f t="shared" si="187"/>
        <v>974339000</v>
      </c>
      <c r="AA635" s="611">
        <f t="shared" si="187"/>
        <v>974339000</v>
      </c>
      <c r="AB635" s="611">
        <f t="shared" si="187"/>
        <v>974339000</v>
      </c>
      <c r="AC635" s="611">
        <f t="shared" si="187"/>
        <v>974339000</v>
      </c>
      <c r="AD635" s="611">
        <f t="shared" si="187"/>
        <v>1009734000</v>
      </c>
      <c r="AE635" s="580">
        <f t="shared" si="187"/>
        <v>1038138000</v>
      </c>
      <c r="AF635" s="822"/>
      <c r="AG635" s="822"/>
      <c r="AH635" s="822"/>
      <c r="AI635" s="822"/>
      <c r="AJ635" s="822"/>
      <c r="AK635" s="806"/>
      <c r="AL635" s="806"/>
      <c r="AM635" s="806"/>
      <c r="AN635" s="806"/>
      <c r="AO635" s="806"/>
      <c r="AP635" s="806"/>
      <c r="AQ635" s="806"/>
      <c r="AR635" s="806"/>
      <c r="AS635" s="806"/>
      <c r="AT635" s="806"/>
      <c r="AU635" s="806"/>
      <c r="AV635" s="806"/>
      <c r="AW635" s="806"/>
      <c r="AX635" s="806"/>
      <c r="AY635" s="806"/>
    </row>
    <row r="636" spans="1:51" ht="28.9" customHeight="1" x14ac:dyDescent="0.25">
      <c r="A636" s="828"/>
      <c r="B636" s="822"/>
      <c r="C636" s="822"/>
      <c r="D636" s="579" t="s">
        <v>351</v>
      </c>
      <c r="E636" s="582">
        <v>0</v>
      </c>
      <c r="F636" s="582">
        <v>0</v>
      </c>
      <c r="G636" s="582">
        <v>0</v>
      </c>
      <c r="H636" s="582">
        <v>0</v>
      </c>
      <c r="I636" s="580">
        <v>0</v>
      </c>
      <c r="J636" s="580">
        <v>0</v>
      </c>
      <c r="K636" s="580">
        <v>0</v>
      </c>
      <c r="L636" s="580">
        <v>0</v>
      </c>
      <c r="M636" s="580">
        <f t="shared" si="186"/>
        <v>0</v>
      </c>
      <c r="N636" s="580">
        <f t="shared" si="186"/>
        <v>0</v>
      </c>
      <c r="O636" s="580">
        <f t="shared" si="186"/>
        <v>0</v>
      </c>
      <c r="P636" s="580">
        <f t="shared" si="186"/>
        <v>0</v>
      </c>
      <c r="Q636" s="580">
        <f t="shared" si="186"/>
        <v>0</v>
      </c>
      <c r="R636" s="580">
        <f t="shared" si="186"/>
        <v>0</v>
      </c>
      <c r="S636" s="580"/>
      <c r="T636" s="580">
        <v>0</v>
      </c>
      <c r="U636" s="574">
        <v>0</v>
      </c>
      <c r="V636" s="574">
        <v>0</v>
      </c>
      <c r="W636" s="611">
        <v>0</v>
      </c>
      <c r="X636" s="611">
        <v>0</v>
      </c>
      <c r="Y636" s="611">
        <v>0</v>
      </c>
      <c r="Z636" s="611">
        <f t="shared" si="187"/>
        <v>0</v>
      </c>
      <c r="AA636" s="611">
        <f t="shared" si="187"/>
        <v>0</v>
      </c>
      <c r="AB636" s="611">
        <f t="shared" si="187"/>
        <v>0</v>
      </c>
      <c r="AC636" s="611">
        <f t="shared" si="187"/>
        <v>0</v>
      </c>
      <c r="AD636" s="611">
        <f t="shared" si="187"/>
        <v>0</v>
      </c>
      <c r="AE636" s="580">
        <f t="shared" si="187"/>
        <v>0</v>
      </c>
      <c r="AF636" s="822"/>
      <c r="AG636" s="822"/>
      <c r="AH636" s="822"/>
      <c r="AI636" s="822"/>
      <c r="AJ636" s="822"/>
      <c r="AK636" s="806"/>
      <c r="AL636" s="806"/>
      <c r="AM636" s="806"/>
      <c r="AN636" s="806"/>
      <c r="AO636" s="806"/>
      <c r="AP636" s="806"/>
      <c r="AQ636" s="806"/>
      <c r="AR636" s="806"/>
      <c r="AS636" s="806"/>
      <c r="AT636" s="806"/>
      <c r="AU636" s="806"/>
      <c r="AV636" s="806"/>
      <c r="AW636" s="806"/>
      <c r="AX636" s="806"/>
      <c r="AY636" s="806"/>
    </row>
    <row r="637" spans="1:51" ht="28.9" customHeight="1" x14ac:dyDescent="0.25">
      <c r="A637" s="828"/>
      <c r="B637" s="822"/>
      <c r="C637" s="822"/>
      <c r="D637" s="578" t="s">
        <v>352</v>
      </c>
      <c r="E637" s="582">
        <v>29539233</v>
      </c>
      <c r="F637" s="582">
        <v>29539233</v>
      </c>
      <c r="G637" s="582">
        <v>29539233</v>
      </c>
      <c r="H637" s="582">
        <v>29539233</v>
      </c>
      <c r="I637" s="580">
        <v>29539233</v>
      </c>
      <c r="J637" s="580">
        <v>29539233</v>
      </c>
      <c r="K637" s="580">
        <v>29539233</v>
      </c>
      <c r="L637" s="580">
        <v>29350417</v>
      </c>
      <c r="M637" s="580">
        <f t="shared" si="186"/>
        <v>29350417</v>
      </c>
      <c r="N637" s="580">
        <f t="shared" si="186"/>
        <v>29350417</v>
      </c>
      <c r="O637" s="580">
        <f t="shared" si="186"/>
        <v>29350417</v>
      </c>
      <c r="P637" s="580">
        <f t="shared" si="186"/>
        <v>29350417</v>
      </c>
      <c r="Q637" s="580">
        <f t="shared" si="186"/>
        <v>29350417</v>
      </c>
      <c r="R637" s="580">
        <f t="shared" si="186"/>
        <v>29350417</v>
      </c>
      <c r="S637" s="580"/>
      <c r="T637" s="580">
        <v>29179467</v>
      </c>
      <c r="U637" s="574">
        <v>29236492</v>
      </c>
      <c r="V637" s="574">
        <v>29293817</v>
      </c>
      <c r="W637" s="611">
        <v>29350417</v>
      </c>
      <c r="X637" s="611">
        <v>29350417</v>
      </c>
      <c r="Y637" s="611">
        <v>29350417</v>
      </c>
      <c r="Z637" s="611">
        <f t="shared" si="187"/>
        <v>29350417</v>
      </c>
      <c r="AA637" s="611">
        <f t="shared" si="187"/>
        <v>29350417</v>
      </c>
      <c r="AB637" s="611">
        <f t="shared" si="187"/>
        <v>29350417</v>
      </c>
      <c r="AC637" s="611">
        <f t="shared" si="187"/>
        <v>29350417</v>
      </c>
      <c r="AD637" s="611">
        <f t="shared" si="187"/>
        <v>29350417</v>
      </c>
      <c r="AE637" s="580">
        <f t="shared" si="187"/>
        <v>29350417</v>
      </c>
      <c r="AF637" s="822"/>
      <c r="AG637" s="822"/>
      <c r="AH637" s="822"/>
      <c r="AI637" s="822"/>
      <c r="AJ637" s="822"/>
      <c r="AK637" s="806"/>
      <c r="AL637" s="806"/>
      <c r="AM637" s="806"/>
      <c r="AN637" s="806"/>
      <c r="AO637" s="806"/>
      <c r="AP637" s="806"/>
      <c r="AQ637" s="806"/>
      <c r="AR637" s="806"/>
      <c r="AS637" s="806"/>
      <c r="AT637" s="806"/>
      <c r="AU637" s="806"/>
      <c r="AV637" s="806"/>
      <c r="AW637" s="806"/>
      <c r="AX637" s="806"/>
      <c r="AY637" s="806"/>
    </row>
    <row r="638" spans="1:51" ht="28.9" customHeight="1" x14ac:dyDescent="0.25">
      <c r="A638" s="828"/>
      <c r="B638" s="822"/>
      <c r="C638" s="822"/>
      <c r="D638" s="579" t="s">
        <v>353</v>
      </c>
      <c r="E638" s="582">
        <v>3.44</v>
      </c>
      <c r="F638" s="582">
        <v>3.44</v>
      </c>
      <c r="G638" s="582">
        <v>3.44</v>
      </c>
      <c r="H638" s="629">
        <v>3.4390000000000005</v>
      </c>
      <c r="I638" s="611">
        <v>3.4390000000000005</v>
      </c>
      <c r="J638" s="611">
        <v>3.4390000000000005</v>
      </c>
      <c r="K638" s="580">
        <v>3.4390000000000005</v>
      </c>
      <c r="L638" s="580">
        <v>3.4390000000000005</v>
      </c>
      <c r="M638" s="580">
        <f t="shared" si="186"/>
        <v>3.44</v>
      </c>
      <c r="N638" s="580">
        <f t="shared" si="186"/>
        <v>3.4390000000000005</v>
      </c>
      <c r="O638" s="580">
        <f t="shared" si="186"/>
        <v>3.4390000000000005</v>
      </c>
      <c r="P638" s="580">
        <f t="shared" si="186"/>
        <v>3.4390000000000005</v>
      </c>
      <c r="Q638" s="580">
        <f t="shared" si="186"/>
        <v>3.4390000000000005</v>
      </c>
      <c r="R638" s="580">
        <f t="shared" si="186"/>
        <v>3.4390000000000005</v>
      </c>
      <c r="S638" s="580"/>
      <c r="T638" s="580">
        <v>0.04</v>
      </c>
      <c r="U638" s="611">
        <v>0.34899999999999998</v>
      </c>
      <c r="V638" s="611">
        <v>0.65799999999999992</v>
      </c>
      <c r="W638" s="611">
        <v>0.96699999999999986</v>
      </c>
      <c r="X638" s="611">
        <v>1.2759999999999998</v>
      </c>
      <c r="Y638" s="611">
        <v>1.5849999999999997</v>
      </c>
      <c r="Z638" s="611">
        <f t="shared" si="187"/>
        <v>1.8849999999999998</v>
      </c>
      <c r="AA638" s="611">
        <f t="shared" si="187"/>
        <v>2.1849999999999996</v>
      </c>
      <c r="AB638" s="611">
        <f t="shared" si="187"/>
        <v>2.512</v>
      </c>
      <c r="AC638" s="611">
        <f t="shared" si="187"/>
        <v>2.8210000000000002</v>
      </c>
      <c r="AD638" s="611">
        <f t="shared" si="187"/>
        <v>3.13</v>
      </c>
      <c r="AE638" s="580">
        <f>AE634</f>
        <v>3.3360000000000003</v>
      </c>
      <c r="AF638" s="822"/>
      <c r="AG638" s="822"/>
      <c r="AH638" s="822"/>
      <c r="AI638" s="822"/>
      <c r="AJ638" s="822"/>
      <c r="AK638" s="806"/>
      <c r="AL638" s="806"/>
      <c r="AM638" s="806"/>
      <c r="AN638" s="806"/>
      <c r="AO638" s="806"/>
      <c r="AP638" s="806"/>
      <c r="AQ638" s="806"/>
      <c r="AR638" s="806"/>
      <c r="AS638" s="806"/>
      <c r="AT638" s="806"/>
      <c r="AU638" s="806"/>
      <c r="AV638" s="806"/>
      <c r="AW638" s="806"/>
      <c r="AX638" s="806"/>
      <c r="AY638" s="806"/>
    </row>
    <row r="639" spans="1:51" ht="28.9" customHeight="1" thickBot="1" x14ac:dyDescent="0.3">
      <c r="A639" s="829"/>
      <c r="B639" s="832"/>
      <c r="C639" s="823"/>
      <c r="D639" s="578" t="s">
        <v>354</v>
      </c>
      <c r="E639" s="582">
        <v>1305174233</v>
      </c>
      <c r="F639" s="582">
        <v>1305174233</v>
      </c>
      <c r="G639" s="582">
        <v>1305174233</v>
      </c>
      <c r="H639" s="582">
        <v>1305174233</v>
      </c>
      <c r="I639" s="580">
        <v>1305174233</v>
      </c>
      <c r="J639" s="580">
        <v>1305174233</v>
      </c>
      <c r="K639" s="580">
        <v>1305174233</v>
      </c>
      <c r="L639" s="580">
        <v>1304985417</v>
      </c>
      <c r="M639" s="580">
        <f t="shared" si="186"/>
        <v>1274983916</v>
      </c>
      <c r="N639" s="580">
        <f t="shared" si="186"/>
        <v>1274983916</v>
      </c>
      <c r="O639" s="580">
        <f t="shared" si="186"/>
        <v>1274983916</v>
      </c>
      <c r="P639" s="580">
        <f t="shared" si="186"/>
        <v>1285130417</v>
      </c>
      <c r="Q639" s="580">
        <f t="shared" si="186"/>
        <v>1284130417</v>
      </c>
      <c r="R639" s="580">
        <f t="shared" si="186"/>
        <v>1284130417</v>
      </c>
      <c r="S639" s="580"/>
      <c r="T639" s="580">
        <v>29179467</v>
      </c>
      <c r="U639" s="574">
        <v>384646492</v>
      </c>
      <c r="V639" s="574">
        <v>423833817</v>
      </c>
      <c r="W639" s="611">
        <v>459107417</v>
      </c>
      <c r="X639" s="611">
        <v>459107417</v>
      </c>
      <c r="Y639" s="611">
        <v>459107417</v>
      </c>
      <c r="Z639" s="611">
        <f t="shared" si="187"/>
        <v>1003689417</v>
      </c>
      <c r="AA639" s="611">
        <f t="shared" si="187"/>
        <v>1003689417</v>
      </c>
      <c r="AB639" s="611">
        <f t="shared" si="187"/>
        <v>1003689417</v>
      </c>
      <c r="AC639" s="611">
        <f t="shared" si="187"/>
        <v>1003689417</v>
      </c>
      <c r="AD639" s="611">
        <f t="shared" si="187"/>
        <v>1039084417</v>
      </c>
      <c r="AE639" s="580">
        <f t="shared" si="187"/>
        <v>1067488417</v>
      </c>
      <c r="AF639" s="823"/>
      <c r="AG639" s="823"/>
      <c r="AH639" s="823"/>
      <c r="AI639" s="823"/>
      <c r="AJ639" s="823"/>
      <c r="AK639" s="807"/>
      <c r="AL639" s="807"/>
      <c r="AM639" s="807"/>
      <c r="AN639" s="807"/>
      <c r="AO639" s="807"/>
      <c r="AP639" s="807"/>
      <c r="AQ639" s="807"/>
      <c r="AR639" s="807"/>
      <c r="AS639" s="807"/>
      <c r="AT639" s="807"/>
      <c r="AU639" s="807"/>
      <c r="AV639" s="807"/>
      <c r="AW639" s="807"/>
      <c r="AX639" s="807"/>
      <c r="AY639" s="807"/>
    </row>
    <row r="640" spans="1:51" ht="19.149999999999999" customHeight="1" x14ac:dyDescent="0.25">
      <c r="A640" s="827">
        <v>8</v>
      </c>
      <c r="B640" s="830" t="s">
        <v>372</v>
      </c>
      <c r="C640" s="821" t="s">
        <v>895</v>
      </c>
      <c r="D640" s="572" t="s">
        <v>345</v>
      </c>
      <c r="E640" s="582">
        <v>3.3000000000000003</v>
      </c>
      <c r="F640" s="582">
        <v>3.3000000000000003</v>
      </c>
      <c r="G640" s="582">
        <v>3.3000000000000003</v>
      </c>
      <c r="H640" s="582">
        <v>3.3000000000000003</v>
      </c>
      <c r="I640" s="580">
        <v>3.3000000000000003</v>
      </c>
      <c r="J640" s="580">
        <v>3.3000000000000003</v>
      </c>
      <c r="K640" s="580">
        <v>3.3000000000000003</v>
      </c>
      <c r="L640" s="580">
        <v>3.3</v>
      </c>
      <c r="M640" s="580">
        <v>3.3</v>
      </c>
      <c r="N640" s="580">
        <v>3.3</v>
      </c>
      <c r="O640" s="580">
        <v>3.3000000000000003</v>
      </c>
      <c r="P640" s="580">
        <v>3.3</v>
      </c>
      <c r="Q640" s="580">
        <v>3.3000000000000003</v>
      </c>
      <c r="R640" s="580">
        <v>3.3000000000000003</v>
      </c>
      <c r="S640" s="580" t="s">
        <v>896</v>
      </c>
      <c r="T640" s="612">
        <v>0.16500000000000001</v>
      </c>
      <c r="U640" s="634">
        <v>0.46199999999999997</v>
      </c>
      <c r="V640" s="612">
        <v>0.75900000000000001</v>
      </c>
      <c r="W640" s="612">
        <v>1.0559999999999998</v>
      </c>
      <c r="X640" s="612">
        <v>1.3529999999999998</v>
      </c>
      <c r="Y640" s="580">
        <v>1.6499999999999997</v>
      </c>
      <c r="Z640" s="623">
        <v>1.9470000000000001</v>
      </c>
      <c r="AA640" s="635">
        <v>2.2440000000000002</v>
      </c>
      <c r="AB640" s="599">
        <v>2.5409999999999999</v>
      </c>
      <c r="AC640" s="632">
        <v>2.8380000000000001</v>
      </c>
      <c r="AD640" s="576">
        <v>3.1350000000000002</v>
      </c>
      <c r="AE640" s="580">
        <v>3.3000000000000003</v>
      </c>
      <c r="AF640" s="842" t="s">
        <v>897</v>
      </c>
      <c r="AG640" s="835" t="s">
        <v>489</v>
      </c>
      <c r="AH640" s="824" t="s">
        <v>178</v>
      </c>
      <c r="AI640" s="824" t="s">
        <v>178</v>
      </c>
      <c r="AJ640" s="841" t="s">
        <v>898</v>
      </c>
      <c r="AK640" s="825" t="s">
        <v>490</v>
      </c>
      <c r="AL640" s="826"/>
      <c r="AM640" s="826" t="s">
        <v>752</v>
      </c>
      <c r="AN640" s="820">
        <v>7968095</v>
      </c>
      <c r="AO640" s="820">
        <v>3815676</v>
      </c>
      <c r="AP640" s="820">
        <v>4152419</v>
      </c>
      <c r="AQ640" s="833" t="s">
        <v>492</v>
      </c>
      <c r="AR640" s="833" t="s">
        <v>492</v>
      </c>
      <c r="AS640" s="833" t="s">
        <v>492</v>
      </c>
      <c r="AT640" s="833" t="s">
        <v>492</v>
      </c>
      <c r="AU640" s="833" t="s">
        <v>492</v>
      </c>
      <c r="AV640" s="833" t="s">
        <v>492</v>
      </c>
      <c r="AW640" s="833" t="s">
        <v>492</v>
      </c>
      <c r="AX640" s="820">
        <v>7804660</v>
      </c>
      <c r="AY640" s="584"/>
    </row>
    <row r="641" spans="1:51" ht="19.149999999999999" customHeight="1" x14ac:dyDescent="0.25">
      <c r="A641" s="828"/>
      <c r="B641" s="822"/>
      <c r="C641" s="822"/>
      <c r="D641" s="578" t="s">
        <v>349</v>
      </c>
      <c r="E641" s="582">
        <v>370000000</v>
      </c>
      <c r="F641" s="582">
        <v>370000000</v>
      </c>
      <c r="G641" s="582">
        <v>370000000</v>
      </c>
      <c r="H641" s="582">
        <v>370000000</v>
      </c>
      <c r="I641" s="580">
        <v>370000000</v>
      </c>
      <c r="J641" s="580">
        <v>370000000</v>
      </c>
      <c r="K641" s="575">
        <v>370000000</v>
      </c>
      <c r="L641" s="575">
        <v>370000000</v>
      </c>
      <c r="M641" s="580">
        <v>370000000</v>
      </c>
      <c r="N641" s="580">
        <v>370000000</v>
      </c>
      <c r="O641" s="580">
        <v>370000000</v>
      </c>
      <c r="P641" s="580">
        <v>370000000</v>
      </c>
      <c r="Q641" s="580">
        <v>389996401</v>
      </c>
      <c r="R641" s="580">
        <v>356438401</v>
      </c>
      <c r="S641" s="580"/>
      <c r="T641" s="593">
        <v>0</v>
      </c>
      <c r="U641" s="593">
        <v>301225000</v>
      </c>
      <c r="V641" s="593">
        <v>336442000</v>
      </c>
      <c r="W641" s="593">
        <v>336442000</v>
      </c>
      <c r="X641" s="574">
        <v>336442000</v>
      </c>
      <c r="Y641" s="593">
        <v>336442000</v>
      </c>
      <c r="Z641" s="623">
        <v>336442000</v>
      </c>
      <c r="AA641" s="623">
        <v>336442000</v>
      </c>
      <c r="AB641" s="599">
        <v>336442000</v>
      </c>
      <c r="AC641" s="576">
        <v>336442000</v>
      </c>
      <c r="AD641" s="576">
        <v>336442000</v>
      </c>
      <c r="AE641" s="580">
        <v>356438401</v>
      </c>
      <c r="AF641" s="838"/>
      <c r="AG641" s="828"/>
      <c r="AH641" s="822"/>
      <c r="AI641" s="822"/>
      <c r="AJ641" s="822"/>
      <c r="AK641" s="806"/>
      <c r="AL641" s="806"/>
      <c r="AM641" s="806"/>
      <c r="AN641" s="806"/>
      <c r="AO641" s="806"/>
      <c r="AP641" s="806"/>
      <c r="AQ641" s="806"/>
      <c r="AR641" s="806"/>
      <c r="AS641" s="806"/>
      <c r="AT641" s="806"/>
      <c r="AU641" s="806"/>
      <c r="AV641" s="806"/>
      <c r="AW641" s="806"/>
      <c r="AX641" s="806"/>
      <c r="AY641" s="584"/>
    </row>
    <row r="642" spans="1:51" ht="28.9" customHeight="1" x14ac:dyDescent="0.25">
      <c r="A642" s="828"/>
      <c r="B642" s="822"/>
      <c r="C642" s="822"/>
      <c r="D642" s="579" t="s">
        <v>351</v>
      </c>
      <c r="E642" s="582"/>
      <c r="F642" s="582"/>
      <c r="G642" s="582"/>
      <c r="H642" s="582"/>
      <c r="I642" s="580"/>
      <c r="J642" s="580"/>
      <c r="K642" s="575"/>
      <c r="L642" s="575"/>
      <c r="M642" s="580"/>
      <c r="N642" s="580"/>
      <c r="O642" s="580"/>
      <c r="P642" s="580"/>
      <c r="Q642" s="580"/>
      <c r="R642" s="580"/>
      <c r="S642" s="580"/>
      <c r="T642" s="593"/>
      <c r="U642" s="593"/>
      <c r="V642" s="593"/>
      <c r="W642" s="593"/>
      <c r="X642" s="574"/>
      <c r="Y642" s="574"/>
      <c r="Z642" s="623"/>
      <c r="AA642" s="623"/>
      <c r="AB642" s="599"/>
      <c r="AC642" s="599"/>
      <c r="AD642" s="576"/>
      <c r="AE642" s="580"/>
      <c r="AF642" s="838"/>
      <c r="AG642" s="828"/>
      <c r="AH642" s="822"/>
      <c r="AI642" s="822"/>
      <c r="AJ642" s="822"/>
      <c r="AK642" s="806"/>
      <c r="AL642" s="806"/>
      <c r="AM642" s="806"/>
      <c r="AN642" s="806"/>
      <c r="AO642" s="806"/>
      <c r="AP642" s="806"/>
      <c r="AQ642" s="806"/>
      <c r="AR642" s="806"/>
      <c r="AS642" s="806"/>
      <c r="AT642" s="806"/>
      <c r="AU642" s="806"/>
      <c r="AV642" s="806"/>
      <c r="AW642" s="806"/>
      <c r="AX642" s="806"/>
      <c r="AY642" s="584"/>
    </row>
    <row r="643" spans="1:51" ht="28.9" customHeight="1" x14ac:dyDescent="0.25">
      <c r="A643" s="828"/>
      <c r="B643" s="822"/>
      <c r="C643" s="822"/>
      <c r="D643" s="578" t="s">
        <v>352</v>
      </c>
      <c r="E643" s="582">
        <v>19134300</v>
      </c>
      <c r="F643" s="582">
        <v>19134300</v>
      </c>
      <c r="G643" s="582">
        <v>19134300</v>
      </c>
      <c r="H643" s="582">
        <v>19134300</v>
      </c>
      <c r="I643" s="580">
        <v>19134300</v>
      </c>
      <c r="J643" s="580">
        <v>19134300</v>
      </c>
      <c r="K643" s="575">
        <v>19134300</v>
      </c>
      <c r="L643" s="575">
        <v>19134300</v>
      </c>
      <c r="M643" s="580">
        <v>19134300</v>
      </c>
      <c r="N643" s="580">
        <v>19134300</v>
      </c>
      <c r="O643" s="580">
        <v>19134300</v>
      </c>
      <c r="P643" s="580">
        <v>19134300</v>
      </c>
      <c r="Q643" s="580">
        <v>19134300</v>
      </c>
      <c r="R643" s="580">
        <v>19134300</v>
      </c>
      <c r="S643" s="580"/>
      <c r="T643" s="593">
        <v>15561467</v>
      </c>
      <c r="U643" s="593">
        <v>19134300</v>
      </c>
      <c r="V643" s="593">
        <v>19134300</v>
      </c>
      <c r="W643" s="593">
        <v>19134300</v>
      </c>
      <c r="X643" s="574">
        <v>19134300</v>
      </c>
      <c r="Y643" s="574">
        <v>19134300</v>
      </c>
      <c r="Z643" s="623">
        <v>19134300</v>
      </c>
      <c r="AA643" s="623">
        <v>19134300</v>
      </c>
      <c r="AB643" s="623">
        <v>19134300</v>
      </c>
      <c r="AC643" s="611">
        <v>19134300</v>
      </c>
      <c r="AD643" s="611">
        <v>19134300</v>
      </c>
      <c r="AE643" s="580">
        <v>19134300</v>
      </c>
      <c r="AF643" s="838"/>
      <c r="AG643" s="828"/>
      <c r="AH643" s="822"/>
      <c r="AI643" s="822"/>
      <c r="AJ643" s="822"/>
      <c r="AK643" s="806"/>
      <c r="AL643" s="806"/>
      <c r="AM643" s="806"/>
      <c r="AN643" s="806"/>
      <c r="AO643" s="806"/>
      <c r="AP643" s="806"/>
      <c r="AQ643" s="806"/>
      <c r="AR643" s="806"/>
      <c r="AS643" s="806"/>
      <c r="AT643" s="806"/>
      <c r="AU643" s="806"/>
      <c r="AV643" s="806"/>
      <c r="AW643" s="806"/>
      <c r="AX643" s="806"/>
      <c r="AY643" s="584"/>
    </row>
    <row r="644" spans="1:51" ht="28.9" customHeight="1" x14ac:dyDescent="0.25">
      <c r="A644" s="828"/>
      <c r="B644" s="822"/>
      <c r="C644" s="822"/>
      <c r="D644" s="579" t="s">
        <v>353</v>
      </c>
      <c r="E644" s="582">
        <v>3.3000000000000003</v>
      </c>
      <c r="F644" s="582">
        <v>3.3000000000000003</v>
      </c>
      <c r="G644" s="582">
        <v>3.3000000000000003</v>
      </c>
      <c r="H644" s="582">
        <v>3.3000000000000003</v>
      </c>
      <c r="I644" s="580">
        <v>3.3000000000000003</v>
      </c>
      <c r="J644" s="580">
        <v>3.3000000000000003</v>
      </c>
      <c r="K644" s="580">
        <v>3.3000000000000003</v>
      </c>
      <c r="L644" s="593">
        <v>3.3000000000000003</v>
      </c>
      <c r="M644" s="580">
        <v>3.3</v>
      </c>
      <c r="N644" s="580">
        <v>3.3</v>
      </c>
      <c r="O644" s="580">
        <v>3.3</v>
      </c>
      <c r="P644" s="580">
        <v>3.3</v>
      </c>
      <c r="Q644" s="580">
        <v>3.3</v>
      </c>
      <c r="R644" s="580">
        <v>3.3</v>
      </c>
      <c r="S644" s="580"/>
      <c r="T644" s="612">
        <v>0.16500000000000001</v>
      </c>
      <c r="U644" s="612">
        <v>0.46199999999999997</v>
      </c>
      <c r="V644" s="612">
        <v>0.75900000000000001</v>
      </c>
      <c r="W644" s="612">
        <v>1.0559999999999998</v>
      </c>
      <c r="X644" s="611">
        <v>1.3529999999999998</v>
      </c>
      <c r="Y644" s="580">
        <v>1.65</v>
      </c>
      <c r="Z644" s="623">
        <v>1.9470000000000001</v>
      </c>
      <c r="AA644" s="580">
        <f>+AA640</f>
        <v>2.2440000000000002</v>
      </c>
      <c r="AB644" s="599">
        <v>2.5409999999999999</v>
      </c>
      <c r="AC644" s="632">
        <v>2.8380000000000001</v>
      </c>
      <c r="AD644" s="576">
        <v>3.1349999999999998</v>
      </c>
      <c r="AE644" s="580">
        <v>3.3</v>
      </c>
      <c r="AF644" s="838"/>
      <c r="AG644" s="828"/>
      <c r="AH644" s="822"/>
      <c r="AI644" s="822"/>
      <c r="AJ644" s="822"/>
      <c r="AK644" s="806"/>
      <c r="AL644" s="806"/>
      <c r="AM644" s="806"/>
      <c r="AN644" s="806"/>
      <c r="AO644" s="806"/>
      <c r="AP644" s="806"/>
      <c r="AQ644" s="806"/>
      <c r="AR644" s="806"/>
      <c r="AS644" s="806"/>
      <c r="AT644" s="806"/>
      <c r="AU644" s="806"/>
      <c r="AV644" s="806"/>
      <c r="AW644" s="806"/>
      <c r="AX644" s="806"/>
      <c r="AY644" s="584"/>
    </row>
    <row r="645" spans="1:51" ht="28.9" customHeight="1" x14ac:dyDescent="0.25">
      <c r="A645" s="828"/>
      <c r="B645" s="822"/>
      <c r="C645" s="823"/>
      <c r="D645" s="578" t="s">
        <v>354</v>
      </c>
      <c r="E645" s="573">
        <v>389134300</v>
      </c>
      <c r="F645" s="573">
        <v>389134300</v>
      </c>
      <c r="G645" s="573">
        <v>389134300</v>
      </c>
      <c r="H645" s="582">
        <v>389134300</v>
      </c>
      <c r="I645" s="580">
        <v>389134300</v>
      </c>
      <c r="J645" s="580">
        <v>389134300</v>
      </c>
      <c r="K645" s="596">
        <v>389134300</v>
      </c>
      <c r="L645" s="596">
        <v>389134300</v>
      </c>
      <c r="M645" s="596">
        <f t="shared" ref="M645:R645" si="188">+M641+M643</f>
        <v>389134300</v>
      </c>
      <c r="N645" s="596">
        <f t="shared" si="188"/>
        <v>389134300</v>
      </c>
      <c r="O645" s="596">
        <f t="shared" si="188"/>
        <v>389134300</v>
      </c>
      <c r="P645" s="596">
        <f t="shared" si="188"/>
        <v>389134300</v>
      </c>
      <c r="Q645" s="596">
        <f t="shared" si="188"/>
        <v>409130701</v>
      </c>
      <c r="R645" s="596">
        <f t="shared" si="188"/>
        <v>375572701</v>
      </c>
      <c r="S645" s="596"/>
      <c r="T645" s="574">
        <v>15561467</v>
      </c>
      <c r="U645" s="574">
        <v>320359300</v>
      </c>
      <c r="V645" s="574">
        <v>355576300</v>
      </c>
      <c r="W645" s="593">
        <v>355576300</v>
      </c>
      <c r="X645" s="593">
        <v>355576300</v>
      </c>
      <c r="Y645" s="593">
        <v>355576300</v>
      </c>
      <c r="Z645" s="596">
        <f t="shared" ref="Z645:AE645" si="189">+Z641+Z643</f>
        <v>355576300</v>
      </c>
      <c r="AA645" s="596">
        <f t="shared" si="189"/>
        <v>355576300</v>
      </c>
      <c r="AB645" s="596">
        <f t="shared" si="189"/>
        <v>355576300</v>
      </c>
      <c r="AC645" s="596">
        <f t="shared" si="189"/>
        <v>355576300</v>
      </c>
      <c r="AD645" s="596">
        <f t="shared" si="189"/>
        <v>355576300</v>
      </c>
      <c r="AE645" s="596">
        <f t="shared" si="189"/>
        <v>375572701</v>
      </c>
      <c r="AF645" s="838"/>
      <c r="AG645" s="829"/>
      <c r="AH645" s="823"/>
      <c r="AI645" s="823"/>
      <c r="AJ645" s="823"/>
      <c r="AK645" s="807"/>
      <c r="AL645" s="807"/>
      <c r="AM645" s="807"/>
      <c r="AN645" s="807"/>
      <c r="AO645" s="807"/>
      <c r="AP645" s="807"/>
      <c r="AQ645" s="807"/>
      <c r="AR645" s="807"/>
      <c r="AS645" s="807"/>
      <c r="AT645" s="807"/>
      <c r="AU645" s="807"/>
      <c r="AV645" s="807"/>
      <c r="AW645" s="807"/>
      <c r="AX645" s="807"/>
      <c r="AY645" s="584"/>
    </row>
    <row r="646" spans="1:51" ht="19.149999999999999" customHeight="1" x14ac:dyDescent="0.25">
      <c r="A646" s="828"/>
      <c r="B646" s="822"/>
      <c r="C646" s="824" t="s">
        <v>899</v>
      </c>
      <c r="D646" s="572" t="s">
        <v>345</v>
      </c>
      <c r="E646" s="582"/>
      <c r="F646" s="582"/>
      <c r="G646" s="582"/>
      <c r="H646" s="636">
        <v>0.1123</v>
      </c>
      <c r="I646" s="580">
        <v>0.23</v>
      </c>
      <c r="J646" s="580">
        <v>0.3</v>
      </c>
      <c r="K646" s="637">
        <v>0.35</v>
      </c>
      <c r="L646" s="638">
        <v>0.42</v>
      </c>
      <c r="M646" s="638">
        <v>0.49</v>
      </c>
      <c r="N646" s="593">
        <v>0.56999999999999995</v>
      </c>
      <c r="O646" s="580">
        <v>0.65</v>
      </c>
      <c r="P646" s="580">
        <v>0.72999999999999987</v>
      </c>
      <c r="Q646" s="580">
        <v>0.79</v>
      </c>
      <c r="R646" s="580">
        <v>0.8</v>
      </c>
      <c r="S646" s="580"/>
      <c r="T646" s="593"/>
      <c r="U646" s="612">
        <v>0.1123</v>
      </c>
      <c r="V646" s="612">
        <v>0.23</v>
      </c>
      <c r="W646" s="612">
        <v>0.3</v>
      </c>
      <c r="X646" s="612">
        <v>0.35</v>
      </c>
      <c r="Y646" s="638">
        <v>0.42</v>
      </c>
      <c r="Z646" s="580">
        <f t="shared" ref="Z646:AE661" si="190">+M646</f>
        <v>0.49</v>
      </c>
      <c r="AA646" s="639">
        <f t="shared" si="190"/>
        <v>0.56999999999999995</v>
      </c>
      <c r="AB646" s="639">
        <f t="shared" si="190"/>
        <v>0.65</v>
      </c>
      <c r="AC646" s="576">
        <f t="shared" si="190"/>
        <v>0.72999999999999987</v>
      </c>
      <c r="AD646" s="576">
        <f t="shared" si="190"/>
        <v>0.79</v>
      </c>
      <c r="AE646" s="580">
        <v>0.8</v>
      </c>
      <c r="AF646" s="838"/>
      <c r="AG646" s="835" t="s">
        <v>900</v>
      </c>
      <c r="AH646" s="824" t="s">
        <v>834</v>
      </c>
      <c r="AI646" s="824" t="s">
        <v>834</v>
      </c>
      <c r="AJ646" s="824" t="s">
        <v>834</v>
      </c>
      <c r="AK646" s="826" t="s">
        <v>490</v>
      </c>
      <c r="AL646" s="826" t="s">
        <v>901</v>
      </c>
      <c r="AM646" s="826" t="s">
        <v>752</v>
      </c>
      <c r="AN646" s="836">
        <v>3440609</v>
      </c>
      <c r="AO646" s="820">
        <v>1660087</v>
      </c>
      <c r="AP646" s="820">
        <v>1780522</v>
      </c>
      <c r="AQ646" s="840" t="s">
        <v>492</v>
      </c>
      <c r="AR646" s="840" t="s">
        <v>492</v>
      </c>
      <c r="AS646" s="840" t="s">
        <v>492</v>
      </c>
      <c r="AT646" s="840" t="s">
        <v>492</v>
      </c>
      <c r="AU646" s="833" t="s">
        <v>492</v>
      </c>
      <c r="AV646" s="833" t="s">
        <v>492</v>
      </c>
      <c r="AW646" s="833" t="s">
        <v>492</v>
      </c>
      <c r="AX646" s="820">
        <v>3429984</v>
      </c>
      <c r="AY646" s="834" t="s">
        <v>902</v>
      </c>
    </row>
    <row r="647" spans="1:51" ht="19.149999999999999" customHeight="1" x14ac:dyDescent="0.25">
      <c r="A647" s="828"/>
      <c r="B647" s="822"/>
      <c r="C647" s="822"/>
      <c r="D647" s="578" t="s">
        <v>349</v>
      </c>
      <c r="E647" s="582"/>
      <c r="F647" s="582"/>
      <c r="G647" s="582"/>
      <c r="H647" s="582">
        <v>73219843.07359308</v>
      </c>
      <c r="I647" s="580">
        <v>101952121.21212122</v>
      </c>
      <c r="J647" s="580">
        <v>95580113.636363655</v>
      </c>
      <c r="K647" s="580">
        <v>87032298.595713228</v>
      </c>
      <c r="L647" s="580">
        <v>85639781.818181828</v>
      </c>
      <c r="M647" s="580">
        <f>+M646*$Z$641/$Z$640</f>
        <v>84672100.667693883</v>
      </c>
      <c r="N647" s="580">
        <f>+N646*$AA$641/$AA$640</f>
        <v>85459866.310160413</v>
      </c>
      <c r="O647" s="580">
        <f>+O646*$AB$641/$AB$640</f>
        <v>86063478.945297137</v>
      </c>
      <c r="P647" s="580">
        <f>+P646*$AC$641/$AC$640</f>
        <v>86540754.052149385</v>
      </c>
      <c r="Q647" s="580">
        <f>+Q646*$AD$641/$AD$640</f>
        <v>84781237.639553428</v>
      </c>
      <c r="R647" s="580">
        <f>+R646*$AE$641/$AE$640</f>
        <v>86409309.333333328</v>
      </c>
      <c r="S647" s="580"/>
      <c r="T647" s="580"/>
      <c r="U647" s="580">
        <v>73219843.07359308</v>
      </c>
      <c r="V647" s="580">
        <v>101952121.21212122</v>
      </c>
      <c r="W647" s="580">
        <v>95580113.636363655</v>
      </c>
      <c r="X647" s="580">
        <v>87032298.595713228</v>
      </c>
      <c r="Y647" s="580">
        <v>85639781.818181828</v>
      </c>
      <c r="Z647" s="580">
        <f t="shared" si="190"/>
        <v>84672100.667693883</v>
      </c>
      <c r="AA647" s="580">
        <f t="shared" si="190"/>
        <v>85459866.310160413</v>
      </c>
      <c r="AB647" s="580">
        <f t="shared" si="190"/>
        <v>86063478.945297137</v>
      </c>
      <c r="AC647" s="576">
        <f t="shared" si="190"/>
        <v>86540754.052149385</v>
      </c>
      <c r="AD647" s="576">
        <f t="shared" si="190"/>
        <v>84781237.639553428</v>
      </c>
      <c r="AE647" s="580">
        <f t="shared" si="190"/>
        <v>86409309.333333328</v>
      </c>
      <c r="AF647" s="838"/>
      <c r="AG647" s="828"/>
      <c r="AH647" s="822"/>
      <c r="AI647" s="822"/>
      <c r="AJ647" s="822"/>
      <c r="AK647" s="806"/>
      <c r="AL647" s="806"/>
      <c r="AM647" s="806"/>
      <c r="AN647" s="806"/>
      <c r="AO647" s="806"/>
      <c r="AP647" s="806"/>
      <c r="AQ647" s="806"/>
      <c r="AR647" s="806"/>
      <c r="AS647" s="806"/>
      <c r="AT647" s="806"/>
      <c r="AU647" s="806"/>
      <c r="AV647" s="806"/>
      <c r="AW647" s="806"/>
      <c r="AX647" s="806"/>
      <c r="AY647" s="806"/>
    </row>
    <row r="648" spans="1:51" ht="28.9" customHeight="1" x14ac:dyDescent="0.25">
      <c r="A648" s="828"/>
      <c r="B648" s="822"/>
      <c r="C648" s="822"/>
      <c r="D648" s="579" t="s">
        <v>351</v>
      </c>
      <c r="E648" s="582"/>
      <c r="F648" s="582"/>
      <c r="G648" s="582"/>
      <c r="H648" s="582"/>
      <c r="I648" s="580"/>
      <c r="J648" s="580"/>
      <c r="K648" s="637"/>
      <c r="L648" s="637"/>
      <c r="M648" s="580"/>
      <c r="N648" s="593"/>
      <c r="O648" s="580"/>
      <c r="P648" s="580"/>
      <c r="Q648" s="580"/>
      <c r="R648" s="580"/>
      <c r="S648" s="580"/>
      <c r="T648" s="593"/>
      <c r="U648" s="612">
        <v>0</v>
      </c>
      <c r="V648" s="612">
        <v>0</v>
      </c>
      <c r="W648" s="593"/>
      <c r="X648" s="574"/>
      <c r="Y648" s="574"/>
      <c r="Z648" s="580">
        <f t="shared" si="190"/>
        <v>0</v>
      </c>
      <c r="AA648" s="593">
        <f t="shared" si="190"/>
        <v>0</v>
      </c>
      <c r="AB648" s="593">
        <f t="shared" si="190"/>
        <v>0</v>
      </c>
      <c r="AC648" s="576">
        <f t="shared" si="190"/>
        <v>0</v>
      </c>
      <c r="AD648" s="576">
        <f t="shared" si="190"/>
        <v>0</v>
      </c>
      <c r="AE648" s="580"/>
      <c r="AF648" s="838"/>
      <c r="AG648" s="828"/>
      <c r="AH648" s="822"/>
      <c r="AI648" s="822"/>
      <c r="AJ648" s="822"/>
      <c r="AK648" s="806"/>
      <c r="AL648" s="806"/>
      <c r="AM648" s="806"/>
      <c r="AN648" s="806"/>
      <c r="AO648" s="806"/>
      <c r="AP648" s="806"/>
      <c r="AQ648" s="806"/>
      <c r="AR648" s="806"/>
      <c r="AS648" s="806"/>
      <c r="AT648" s="806"/>
      <c r="AU648" s="806"/>
      <c r="AV648" s="806"/>
      <c r="AW648" s="806"/>
      <c r="AX648" s="806"/>
      <c r="AY648" s="806"/>
    </row>
    <row r="649" spans="1:51" ht="28.9" customHeight="1" x14ac:dyDescent="0.25">
      <c r="A649" s="828"/>
      <c r="B649" s="822"/>
      <c r="C649" s="822"/>
      <c r="D649" s="578" t="s">
        <v>352</v>
      </c>
      <c r="E649" s="582"/>
      <c r="F649" s="582"/>
      <c r="G649" s="582"/>
      <c r="H649" s="582">
        <v>6378100</v>
      </c>
      <c r="I649" s="580">
        <v>6378100</v>
      </c>
      <c r="J649" s="580">
        <v>6378100</v>
      </c>
      <c r="K649" s="580">
        <v>6378100</v>
      </c>
      <c r="L649" s="580">
        <v>6378100</v>
      </c>
      <c r="M649" s="580">
        <v>6378100</v>
      </c>
      <c r="N649" s="580">
        <v>6378100</v>
      </c>
      <c r="O649" s="580">
        <v>6378100</v>
      </c>
      <c r="P649" s="580">
        <v>6378100</v>
      </c>
      <c r="Q649" s="580">
        <v>6378100</v>
      </c>
      <c r="R649" s="580">
        <v>6378100</v>
      </c>
      <c r="S649" s="580"/>
      <c r="T649" s="593"/>
      <c r="U649" s="612">
        <v>6378100</v>
      </c>
      <c r="V649" s="612">
        <v>6378100</v>
      </c>
      <c r="W649" s="612">
        <v>6378100</v>
      </c>
      <c r="X649" s="612">
        <v>6378100</v>
      </c>
      <c r="Y649" s="612">
        <v>6378100</v>
      </c>
      <c r="Z649" s="580">
        <f t="shared" si="190"/>
        <v>6378100</v>
      </c>
      <c r="AA649" s="593">
        <f t="shared" si="190"/>
        <v>6378100</v>
      </c>
      <c r="AB649" s="593">
        <f t="shared" si="190"/>
        <v>6378100</v>
      </c>
      <c r="AC649" s="576">
        <f t="shared" si="190"/>
        <v>6378100</v>
      </c>
      <c r="AD649" s="576">
        <f t="shared" si="190"/>
        <v>6378100</v>
      </c>
      <c r="AE649" s="580">
        <f t="shared" si="190"/>
        <v>6378100</v>
      </c>
      <c r="AF649" s="838"/>
      <c r="AG649" s="828"/>
      <c r="AH649" s="822"/>
      <c r="AI649" s="822"/>
      <c r="AJ649" s="822"/>
      <c r="AK649" s="806"/>
      <c r="AL649" s="806"/>
      <c r="AM649" s="806"/>
      <c r="AN649" s="806"/>
      <c r="AO649" s="806"/>
      <c r="AP649" s="806"/>
      <c r="AQ649" s="806"/>
      <c r="AR649" s="806"/>
      <c r="AS649" s="806"/>
      <c r="AT649" s="806"/>
      <c r="AU649" s="806"/>
      <c r="AV649" s="806"/>
      <c r="AW649" s="806"/>
      <c r="AX649" s="806"/>
      <c r="AY649" s="806"/>
    </row>
    <row r="650" spans="1:51" ht="28.9" customHeight="1" x14ac:dyDescent="0.25">
      <c r="A650" s="828"/>
      <c r="B650" s="822"/>
      <c r="C650" s="822"/>
      <c r="D650" s="579" t="s">
        <v>353</v>
      </c>
      <c r="E650" s="582"/>
      <c r="F650" s="582"/>
      <c r="G650" s="582"/>
      <c r="H650" s="629">
        <v>0.1123</v>
      </c>
      <c r="I650" s="580">
        <v>0.23</v>
      </c>
      <c r="J650" s="580">
        <v>0.3</v>
      </c>
      <c r="K650" s="637">
        <v>0.35</v>
      </c>
      <c r="L650" s="638">
        <v>0.42</v>
      </c>
      <c r="M650" s="623">
        <v>0.49</v>
      </c>
      <c r="N650" s="593">
        <v>0.56999999999999995</v>
      </c>
      <c r="O650" s="580">
        <v>0.65</v>
      </c>
      <c r="P650" s="580">
        <v>0.72999999999999987</v>
      </c>
      <c r="Q650" s="580">
        <v>0.79</v>
      </c>
      <c r="R650" s="580">
        <v>0.8</v>
      </c>
      <c r="S650" s="580"/>
      <c r="T650" s="593"/>
      <c r="U650" s="612">
        <v>0.1123</v>
      </c>
      <c r="V650" s="612">
        <v>0.23</v>
      </c>
      <c r="W650" s="612">
        <v>0.3</v>
      </c>
      <c r="X650" s="580">
        <v>0.35</v>
      </c>
      <c r="Y650" s="638">
        <v>0.42</v>
      </c>
      <c r="Z650" s="580">
        <f t="shared" si="190"/>
        <v>0.49</v>
      </c>
      <c r="AA650" s="639">
        <f t="shared" si="190"/>
        <v>0.56999999999999995</v>
      </c>
      <c r="AB650" s="639">
        <f t="shared" si="190"/>
        <v>0.65</v>
      </c>
      <c r="AC650" s="576">
        <f t="shared" si="190"/>
        <v>0.72999999999999987</v>
      </c>
      <c r="AD650" s="576">
        <f t="shared" si="190"/>
        <v>0.79</v>
      </c>
      <c r="AE650" s="580">
        <v>0.8</v>
      </c>
      <c r="AF650" s="838"/>
      <c r="AG650" s="828"/>
      <c r="AH650" s="822"/>
      <c r="AI650" s="822"/>
      <c r="AJ650" s="822"/>
      <c r="AK650" s="806"/>
      <c r="AL650" s="806"/>
      <c r="AM650" s="806"/>
      <c r="AN650" s="806"/>
      <c r="AO650" s="806"/>
      <c r="AP650" s="806"/>
      <c r="AQ650" s="806"/>
      <c r="AR650" s="806"/>
      <c r="AS650" s="806"/>
      <c r="AT650" s="806"/>
      <c r="AU650" s="806"/>
      <c r="AV650" s="806"/>
      <c r="AW650" s="806"/>
      <c r="AX650" s="806"/>
      <c r="AY650" s="806"/>
    </row>
    <row r="651" spans="1:51" ht="28.9" customHeight="1" x14ac:dyDescent="0.25">
      <c r="A651" s="828"/>
      <c r="B651" s="822"/>
      <c r="C651" s="823"/>
      <c r="D651" s="578" t="s">
        <v>354</v>
      </c>
      <c r="E651" s="582"/>
      <c r="F651" s="582"/>
      <c r="G651" s="592"/>
      <c r="H651" s="629">
        <v>79597943.07359308</v>
      </c>
      <c r="I651" s="580">
        <v>108330221.21212122</v>
      </c>
      <c r="J651" s="580">
        <v>101958213.63636366</v>
      </c>
      <c r="K651" s="580">
        <v>93410398.595713228</v>
      </c>
      <c r="L651" s="574">
        <v>92017881.818181828</v>
      </c>
      <c r="M651" s="596">
        <f t="shared" ref="M651:R651" si="191">+M647+M649</f>
        <v>91050200.667693883</v>
      </c>
      <c r="N651" s="596">
        <f t="shared" si="191"/>
        <v>91837966.310160413</v>
      </c>
      <c r="O651" s="596">
        <f t="shared" si="191"/>
        <v>92441578.945297137</v>
      </c>
      <c r="P651" s="596">
        <f t="shared" si="191"/>
        <v>92918854.052149385</v>
      </c>
      <c r="Q651" s="596">
        <f t="shared" si="191"/>
        <v>91159337.639553428</v>
      </c>
      <c r="R651" s="596">
        <f t="shared" si="191"/>
        <v>92787409.333333328</v>
      </c>
      <c r="S651" s="596"/>
      <c r="T651" s="593"/>
      <c r="U651" s="612">
        <v>79597943.07359308</v>
      </c>
      <c r="V651" s="612">
        <v>108330221.21212122</v>
      </c>
      <c r="W651" s="612">
        <v>101958213.63636366</v>
      </c>
      <c r="X651" s="612">
        <v>93410398.595713228</v>
      </c>
      <c r="Y651" s="612">
        <v>92017881.818181828</v>
      </c>
      <c r="Z651" s="580">
        <f t="shared" si="190"/>
        <v>91050200.667693883</v>
      </c>
      <c r="AA651" s="596">
        <f t="shared" si="190"/>
        <v>91837966.310160413</v>
      </c>
      <c r="AB651" s="596">
        <f t="shared" si="190"/>
        <v>92441578.945297137</v>
      </c>
      <c r="AC651" s="576">
        <f t="shared" si="190"/>
        <v>92918854.052149385</v>
      </c>
      <c r="AD651" s="576">
        <f t="shared" si="190"/>
        <v>91159337.639553428</v>
      </c>
      <c r="AE651" s="596">
        <f t="shared" si="190"/>
        <v>92787409.333333328</v>
      </c>
      <c r="AF651" s="838"/>
      <c r="AG651" s="829"/>
      <c r="AH651" s="823"/>
      <c r="AI651" s="823"/>
      <c r="AJ651" s="823"/>
      <c r="AK651" s="807"/>
      <c r="AL651" s="807"/>
      <c r="AM651" s="807"/>
      <c r="AN651" s="807"/>
      <c r="AO651" s="807"/>
      <c r="AP651" s="807"/>
      <c r="AQ651" s="807"/>
      <c r="AR651" s="807"/>
      <c r="AS651" s="807"/>
      <c r="AT651" s="807"/>
      <c r="AU651" s="807"/>
      <c r="AV651" s="807"/>
      <c r="AW651" s="807"/>
      <c r="AX651" s="807"/>
      <c r="AY651" s="807"/>
    </row>
    <row r="652" spans="1:51" ht="19.149999999999999" customHeight="1" x14ac:dyDescent="0.25">
      <c r="A652" s="828"/>
      <c r="B652" s="822"/>
      <c r="C652" s="837" t="s">
        <v>903</v>
      </c>
      <c r="D652" s="572" t="s">
        <v>345</v>
      </c>
      <c r="E652" s="582"/>
      <c r="F652" s="582"/>
      <c r="G652" s="582"/>
      <c r="H652" s="636">
        <v>7.2300000000000003E-2</v>
      </c>
      <c r="I652" s="580">
        <v>0.13</v>
      </c>
      <c r="J652" s="580">
        <v>0.16</v>
      </c>
      <c r="K652" s="580">
        <v>0.18</v>
      </c>
      <c r="L652" s="580">
        <v>0.19</v>
      </c>
      <c r="M652" s="580">
        <v>0.2</v>
      </c>
      <c r="N652" s="593">
        <v>0.21</v>
      </c>
      <c r="O652" s="580">
        <v>0.24</v>
      </c>
      <c r="P652" s="580">
        <v>0.26</v>
      </c>
      <c r="Q652" s="580">
        <v>0.28000000000000003</v>
      </c>
      <c r="R652" s="580">
        <v>0.3</v>
      </c>
      <c r="S652" s="580"/>
      <c r="T652" s="593"/>
      <c r="U652" s="612">
        <v>7.2300000000000003E-2</v>
      </c>
      <c r="V652" s="612">
        <v>0.13</v>
      </c>
      <c r="W652" s="593">
        <v>0.16</v>
      </c>
      <c r="X652" s="593">
        <v>0.18</v>
      </c>
      <c r="Y652" s="580">
        <v>0.19</v>
      </c>
      <c r="Z652" s="580">
        <f t="shared" si="190"/>
        <v>0.2</v>
      </c>
      <c r="AA652" s="593">
        <f t="shared" si="190"/>
        <v>0.21</v>
      </c>
      <c r="AB652" s="593">
        <f t="shared" si="190"/>
        <v>0.24</v>
      </c>
      <c r="AC652" s="576">
        <f t="shared" si="190"/>
        <v>0.26</v>
      </c>
      <c r="AD652" s="576">
        <f t="shared" si="190"/>
        <v>0.28000000000000003</v>
      </c>
      <c r="AE652" s="580">
        <v>0.3</v>
      </c>
      <c r="AF652" s="838"/>
      <c r="AG652" s="827" t="s">
        <v>904</v>
      </c>
      <c r="AH652" s="824" t="s">
        <v>905</v>
      </c>
      <c r="AI652" s="824" t="s">
        <v>834</v>
      </c>
      <c r="AJ652" s="824" t="s">
        <v>834</v>
      </c>
      <c r="AK652" s="826" t="s">
        <v>490</v>
      </c>
      <c r="AL652" s="826">
        <v>8</v>
      </c>
      <c r="AM652" s="826" t="s">
        <v>752</v>
      </c>
      <c r="AN652" s="836">
        <v>407645</v>
      </c>
      <c r="AO652" s="820">
        <v>201919</v>
      </c>
      <c r="AP652" s="820">
        <v>205726</v>
      </c>
      <c r="AQ652" s="833" t="s">
        <v>492</v>
      </c>
      <c r="AR652" s="833" t="s">
        <v>492</v>
      </c>
      <c r="AS652" s="833" t="s">
        <v>492</v>
      </c>
      <c r="AT652" s="833" t="s">
        <v>492</v>
      </c>
      <c r="AU652" s="833" t="s">
        <v>492</v>
      </c>
      <c r="AV652" s="833" t="s">
        <v>492</v>
      </c>
      <c r="AW652" s="833" t="s">
        <v>492</v>
      </c>
      <c r="AX652" s="820">
        <v>134412</v>
      </c>
      <c r="AY652" s="834" t="s">
        <v>906</v>
      </c>
    </row>
    <row r="653" spans="1:51" ht="19.149999999999999" customHeight="1" x14ac:dyDescent="0.25">
      <c r="A653" s="828"/>
      <c r="B653" s="822"/>
      <c r="C653" s="838"/>
      <c r="D653" s="578" t="s">
        <v>349</v>
      </c>
      <c r="E653" s="583"/>
      <c r="F653" s="583"/>
      <c r="G653" s="583"/>
      <c r="H653" s="582">
        <v>47139756.493506499</v>
      </c>
      <c r="I653" s="580">
        <v>57625111.989459813</v>
      </c>
      <c r="J653" s="580">
        <v>50976060.606060617</v>
      </c>
      <c r="K653" s="580">
        <v>44759467.849223956</v>
      </c>
      <c r="L653" s="580">
        <v>38741806.06060607</v>
      </c>
      <c r="M653" s="580">
        <f>+M652*$Z$641/$Z$640</f>
        <v>34560041.088854648</v>
      </c>
      <c r="N653" s="580">
        <f>+N652*$AA$641/$AA$640</f>
        <v>31485213.903743312</v>
      </c>
      <c r="O653" s="580">
        <f>+O652*$AB$641/$AB$640</f>
        <v>31777284.533648171</v>
      </c>
      <c r="P653" s="580">
        <f>+P652*$AC$641/$AC$640</f>
        <v>30822734.319943622</v>
      </c>
      <c r="Q653" s="580">
        <f>+Q652*$AD$641/$AD$640</f>
        <v>30049046.251993623</v>
      </c>
      <c r="R653" s="580">
        <f>+R652*$AE$641/$AE$640</f>
        <v>32403490.999999996</v>
      </c>
      <c r="S653" s="580"/>
      <c r="T653" s="593"/>
      <c r="U653" s="580">
        <v>47139756.493506499</v>
      </c>
      <c r="V653" s="580">
        <v>57625111.989459813</v>
      </c>
      <c r="W653" s="580">
        <v>50976060.606060617</v>
      </c>
      <c r="X653" s="580">
        <v>44759467.849223956</v>
      </c>
      <c r="Y653" s="580">
        <v>38741806.06060607</v>
      </c>
      <c r="Z653" s="580">
        <f t="shared" si="190"/>
        <v>34560041.088854648</v>
      </c>
      <c r="AA653" s="574">
        <f t="shared" si="190"/>
        <v>31485213.903743312</v>
      </c>
      <c r="AB653" s="574">
        <f t="shared" si="190"/>
        <v>31777284.533648171</v>
      </c>
      <c r="AC653" s="576">
        <f t="shared" si="190"/>
        <v>30822734.319943622</v>
      </c>
      <c r="AD653" s="576">
        <f t="shared" si="190"/>
        <v>30049046.251993623</v>
      </c>
      <c r="AE653" s="580">
        <f t="shared" si="190"/>
        <v>32403490.999999996</v>
      </c>
      <c r="AF653" s="838"/>
      <c r="AG653" s="828"/>
      <c r="AH653" s="822"/>
      <c r="AI653" s="822"/>
      <c r="AJ653" s="822"/>
      <c r="AK653" s="806"/>
      <c r="AL653" s="806"/>
      <c r="AM653" s="806"/>
      <c r="AN653" s="806"/>
      <c r="AO653" s="806"/>
      <c r="AP653" s="806"/>
      <c r="AQ653" s="806"/>
      <c r="AR653" s="806"/>
      <c r="AS653" s="806"/>
      <c r="AT653" s="806"/>
      <c r="AU653" s="806"/>
      <c r="AV653" s="806"/>
      <c r="AW653" s="806"/>
      <c r="AX653" s="806"/>
      <c r="AY653" s="806"/>
    </row>
    <row r="654" spans="1:51" ht="28.9" customHeight="1" x14ac:dyDescent="0.25">
      <c r="A654" s="828"/>
      <c r="B654" s="822"/>
      <c r="C654" s="838"/>
      <c r="D654" s="579" t="s">
        <v>351</v>
      </c>
      <c r="E654" s="583"/>
      <c r="F654" s="583"/>
      <c r="G654" s="583"/>
      <c r="H654" s="583"/>
      <c r="I654" s="575"/>
      <c r="J654" s="575"/>
      <c r="K654" s="575"/>
      <c r="L654" s="575"/>
      <c r="M654" s="575"/>
      <c r="N654" s="574"/>
      <c r="O654" s="575"/>
      <c r="P654" s="575"/>
      <c r="Q654" s="575"/>
      <c r="R654" s="575"/>
      <c r="S654" s="575"/>
      <c r="T654" s="593"/>
      <c r="U654" s="612">
        <v>0</v>
      </c>
      <c r="V654" s="612">
        <v>0</v>
      </c>
      <c r="W654" s="612">
        <v>0</v>
      </c>
      <c r="X654" s="574"/>
      <c r="Y654" s="574"/>
      <c r="Z654" s="580">
        <f t="shared" si="190"/>
        <v>0</v>
      </c>
      <c r="AA654" s="574">
        <f t="shared" si="190"/>
        <v>0</v>
      </c>
      <c r="AB654" s="574">
        <f t="shared" si="190"/>
        <v>0</v>
      </c>
      <c r="AC654" s="576">
        <f t="shared" si="190"/>
        <v>0</v>
      </c>
      <c r="AD654" s="576">
        <f t="shared" si="190"/>
        <v>0</v>
      </c>
      <c r="AE654" s="575"/>
      <c r="AF654" s="838"/>
      <c r="AG654" s="828"/>
      <c r="AH654" s="822"/>
      <c r="AI654" s="822"/>
      <c r="AJ654" s="822"/>
      <c r="AK654" s="806"/>
      <c r="AL654" s="806"/>
      <c r="AM654" s="806"/>
      <c r="AN654" s="806"/>
      <c r="AO654" s="806"/>
      <c r="AP654" s="806"/>
      <c r="AQ654" s="806"/>
      <c r="AR654" s="806"/>
      <c r="AS654" s="806"/>
      <c r="AT654" s="806"/>
      <c r="AU654" s="806"/>
      <c r="AV654" s="806"/>
      <c r="AW654" s="806"/>
      <c r="AX654" s="806"/>
      <c r="AY654" s="806"/>
    </row>
    <row r="655" spans="1:51" ht="28.9" customHeight="1" x14ac:dyDescent="0.25">
      <c r="A655" s="828"/>
      <c r="B655" s="822"/>
      <c r="C655" s="838"/>
      <c r="D655" s="578" t="s">
        <v>352</v>
      </c>
      <c r="E655" s="583"/>
      <c r="F655" s="583"/>
      <c r="G655" s="583"/>
      <c r="H655" s="583">
        <v>6378100</v>
      </c>
      <c r="I655" s="575">
        <v>6378100</v>
      </c>
      <c r="J655" s="575">
        <v>6378100</v>
      </c>
      <c r="K655" s="580">
        <v>6378100</v>
      </c>
      <c r="L655" s="580">
        <v>6378100</v>
      </c>
      <c r="M655" s="580">
        <v>6378100</v>
      </c>
      <c r="N655" s="580">
        <v>6378100</v>
      </c>
      <c r="O655" s="580">
        <v>6378100</v>
      </c>
      <c r="P655" s="580">
        <v>6378100</v>
      </c>
      <c r="Q655" s="580">
        <v>6378100</v>
      </c>
      <c r="R655" s="580">
        <v>6378100</v>
      </c>
      <c r="S655" s="580"/>
      <c r="T655" s="593"/>
      <c r="U655" s="612">
        <v>6378100</v>
      </c>
      <c r="V655" s="612">
        <v>6378100</v>
      </c>
      <c r="W655" s="612">
        <v>6378100</v>
      </c>
      <c r="X655" s="612">
        <v>6378100</v>
      </c>
      <c r="Y655" s="612">
        <v>6378100</v>
      </c>
      <c r="Z655" s="580">
        <f t="shared" si="190"/>
        <v>6378100</v>
      </c>
      <c r="AA655" s="574">
        <f t="shared" si="190"/>
        <v>6378100</v>
      </c>
      <c r="AB655" s="574">
        <f t="shared" si="190"/>
        <v>6378100</v>
      </c>
      <c r="AC655" s="576">
        <f t="shared" si="190"/>
        <v>6378100</v>
      </c>
      <c r="AD655" s="576">
        <f t="shared" si="190"/>
        <v>6378100</v>
      </c>
      <c r="AE655" s="580">
        <f t="shared" si="190"/>
        <v>6378100</v>
      </c>
      <c r="AF655" s="838"/>
      <c r="AG655" s="828"/>
      <c r="AH655" s="822"/>
      <c r="AI655" s="822"/>
      <c r="AJ655" s="822"/>
      <c r="AK655" s="806"/>
      <c r="AL655" s="806"/>
      <c r="AM655" s="806"/>
      <c r="AN655" s="806"/>
      <c r="AO655" s="806"/>
      <c r="AP655" s="806"/>
      <c r="AQ655" s="806"/>
      <c r="AR655" s="806"/>
      <c r="AS655" s="806"/>
      <c r="AT655" s="806"/>
      <c r="AU655" s="806"/>
      <c r="AV655" s="806"/>
      <c r="AW655" s="806"/>
      <c r="AX655" s="806"/>
      <c r="AY655" s="806"/>
    </row>
    <row r="656" spans="1:51" ht="28.9" customHeight="1" x14ac:dyDescent="0.25">
      <c r="A656" s="828"/>
      <c r="B656" s="822"/>
      <c r="C656" s="838"/>
      <c r="D656" s="579" t="s">
        <v>353</v>
      </c>
      <c r="E656" s="582"/>
      <c r="F656" s="582"/>
      <c r="G656" s="582"/>
      <c r="H656" s="582">
        <v>7.2300000000000003E-2</v>
      </c>
      <c r="I656" s="580">
        <v>0.13</v>
      </c>
      <c r="J656" s="580">
        <v>0.16</v>
      </c>
      <c r="K656" s="580">
        <v>0.18</v>
      </c>
      <c r="L656" s="580">
        <v>0.19</v>
      </c>
      <c r="M656" s="580">
        <v>0.2</v>
      </c>
      <c r="N656" s="593">
        <v>0.21</v>
      </c>
      <c r="O656" s="580">
        <v>0.24</v>
      </c>
      <c r="P656" s="580">
        <v>0.26</v>
      </c>
      <c r="Q656" s="580">
        <v>0.28000000000000003</v>
      </c>
      <c r="R656" s="580">
        <v>0.3</v>
      </c>
      <c r="S656" s="580"/>
      <c r="T656" s="593"/>
      <c r="U656" s="612">
        <v>7.2300000000000003E-2</v>
      </c>
      <c r="V656" s="612">
        <v>0.13</v>
      </c>
      <c r="W656" s="612">
        <v>0.16</v>
      </c>
      <c r="X656" s="580">
        <v>0.18</v>
      </c>
      <c r="Y656" s="580">
        <v>0.19</v>
      </c>
      <c r="Z656" s="580">
        <f t="shared" si="190"/>
        <v>0.2</v>
      </c>
      <c r="AA656" s="580">
        <f t="shared" si="190"/>
        <v>0.21</v>
      </c>
      <c r="AB656" s="580">
        <f t="shared" si="190"/>
        <v>0.24</v>
      </c>
      <c r="AC656" s="576">
        <f t="shared" si="190"/>
        <v>0.26</v>
      </c>
      <c r="AD656" s="576">
        <f t="shared" si="190"/>
        <v>0.28000000000000003</v>
      </c>
      <c r="AE656" s="580">
        <v>0.3</v>
      </c>
      <c r="AF656" s="838"/>
      <c r="AG656" s="828"/>
      <c r="AH656" s="822"/>
      <c r="AI656" s="822"/>
      <c r="AJ656" s="822"/>
      <c r="AK656" s="806"/>
      <c r="AL656" s="806"/>
      <c r="AM656" s="806"/>
      <c r="AN656" s="806"/>
      <c r="AO656" s="806"/>
      <c r="AP656" s="806"/>
      <c r="AQ656" s="806"/>
      <c r="AR656" s="806"/>
      <c r="AS656" s="806"/>
      <c r="AT656" s="806"/>
      <c r="AU656" s="806"/>
      <c r="AV656" s="806"/>
      <c r="AW656" s="806"/>
      <c r="AX656" s="806"/>
      <c r="AY656" s="806"/>
    </row>
    <row r="657" spans="1:51" ht="28.9" customHeight="1" x14ac:dyDescent="0.25">
      <c r="A657" s="828"/>
      <c r="B657" s="822"/>
      <c r="C657" s="839"/>
      <c r="D657" s="578" t="s">
        <v>354</v>
      </c>
      <c r="E657" s="597"/>
      <c r="F657" s="597"/>
      <c r="G657" s="597"/>
      <c r="H657" s="597">
        <v>53517856.493506499</v>
      </c>
      <c r="I657" s="596">
        <v>64003211.989459813</v>
      </c>
      <c r="J657" s="580">
        <v>57354160.606060617</v>
      </c>
      <c r="K657" s="580">
        <v>51137567.849223956</v>
      </c>
      <c r="L657" s="574">
        <v>45119906.06060607</v>
      </c>
      <c r="M657" s="596">
        <f t="shared" ref="M657:R657" si="192">+M653+M655</f>
        <v>40938141.088854648</v>
      </c>
      <c r="N657" s="596">
        <f t="shared" si="192"/>
        <v>37863313.903743312</v>
      </c>
      <c r="O657" s="596">
        <f t="shared" si="192"/>
        <v>38155384.533648171</v>
      </c>
      <c r="P657" s="596">
        <f t="shared" si="192"/>
        <v>37200834.319943622</v>
      </c>
      <c r="Q657" s="596">
        <f t="shared" si="192"/>
        <v>36427146.251993626</v>
      </c>
      <c r="R657" s="596">
        <f t="shared" si="192"/>
        <v>38781591</v>
      </c>
      <c r="S657" s="596"/>
      <c r="T657" s="593"/>
      <c r="U657" s="612">
        <v>53517856.493506499</v>
      </c>
      <c r="V657" s="612">
        <v>64003211.989459813</v>
      </c>
      <c r="W657" s="612">
        <v>57354160.606060617</v>
      </c>
      <c r="X657" s="612">
        <v>51137567.849223956</v>
      </c>
      <c r="Y657" s="612">
        <v>45119906.06060607</v>
      </c>
      <c r="Z657" s="580">
        <f t="shared" si="190"/>
        <v>40938141.088854648</v>
      </c>
      <c r="AA657" s="593">
        <f t="shared" si="190"/>
        <v>37863313.903743312</v>
      </c>
      <c r="AB657" s="593">
        <f t="shared" si="190"/>
        <v>38155384.533648171</v>
      </c>
      <c r="AC657" s="576">
        <f t="shared" si="190"/>
        <v>37200834.319943622</v>
      </c>
      <c r="AD657" s="576">
        <f t="shared" si="190"/>
        <v>36427146.251993626</v>
      </c>
      <c r="AE657" s="596">
        <f t="shared" si="190"/>
        <v>38781591</v>
      </c>
      <c r="AF657" s="838"/>
      <c r="AG657" s="829"/>
      <c r="AH657" s="823"/>
      <c r="AI657" s="823"/>
      <c r="AJ657" s="823"/>
      <c r="AK657" s="807"/>
      <c r="AL657" s="807"/>
      <c r="AM657" s="807"/>
      <c r="AN657" s="807"/>
      <c r="AO657" s="807"/>
      <c r="AP657" s="807"/>
      <c r="AQ657" s="807"/>
      <c r="AR657" s="807"/>
      <c r="AS657" s="807"/>
      <c r="AT657" s="807"/>
      <c r="AU657" s="807"/>
      <c r="AV657" s="807"/>
      <c r="AW657" s="807"/>
      <c r="AX657" s="807"/>
      <c r="AY657" s="807"/>
    </row>
    <row r="658" spans="1:51" ht="19.149999999999999" customHeight="1" x14ac:dyDescent="0.25">
      <c r="A658" s="828"/>
      <c r="B658" s="822"/>
      <c r="C658" s="824" t="s">
        <v>907</v>
      </c>
      <c r="D658" s="572" t="s">
        <v>345</v>
      </c>
      <c r="E658" s="582"/>
      <c r="F658" s="582"/>
      <c r="G658" s="582"/>
      <c r="H658" s="582">
        <v>0</v>
      </c>
      <c r="I658" s="580">
        <v>0.06</v>
      </c>
      <c r="J658" s="580">
        <v>0.13</v>
      </c>
      <c r="K658" s="593">
        <v>0.16</v>
      </c>
      <c r="L658" s="580">
        <v>0.35</v>
      </c>
      <c r="M658" s="580">
        <v>0.42</v>
      </c>
      <c r="N658" s="593">
        <v>0.49</v>
      </c>
      <c r="O658" s="580">
        <v>0.56000000000000005</v>
      </c>
      <c r="P658" s="580">
        <v>0.62000000000000011</v>
      </c>
      <c r="Q658" s="580">
        <v>0.67</v>
      </c>
      <c r="R658" s="580">
        <v>0.7</v>
      </c>
      <c r="S658" s="580"/>
      <c r="T658" s="593"/>
      <c r="U658" s="612">
        <v>0</v>
      </c>
      <c r="V658" s="612">
        <v>0.06</v>
      </c>
      <c r="W658" s="593">
        <v>0.13</v>
      </c>
      <c r="X658" s="593">
        <v>0.16</v>
      </c>
      <c r="Y658" s="580">
        <v>0.35</v>
      </c>
      <c r="Z658" s="580">
        <f t="shared" si="190"/>
        <v>0.42</v>
      </c>
      <c r="AA658" s="639">
        <f t="shared" si="190"/>
        <v>0.49</v>
      </c>
      <c r="AB658" s="639">
        <f t="shared" si="190"/>
        <v>0.56000000000000005</v>
      </c>
      <c r="AC658" s="576">
        <f t="shared" si="190"/>
        <v>0.62000000000000011</v>
      </c>
      <c r="AD658" s="576">
        <f t="shared" si="190"/>
        <v>0.67</v>
      </c>
      <c r="AE658" s="580">
        <v>0.7</v>
      </c>
      <c r="AF658" s="838"/>
      <c r="AG658" s="827" t="s">
        <v>851</v>
      </c>
      <c r="AH658" s="824" t="s">
        <v>908</v>
      </c>
      <c r="AI658" s="824" t="s">
        <v>909</v>
      </c>
      <c r="AJ658" s="668"/>
      <c r="AK658" s="826" t="s">
        <v>490</v>
      </c>
      <c r="AL658" s="826">
        <v>6</v>
      </c>
      <c r="AM658" s="826" t="s">
        <v>752</v>
      </c>
      <c r="AN658" s="820">
        <v>182943</v>
      </c>
      <c r="AO658" s="820">
        <v>90946</v>
      </c>
      <c r="AP658" s="820">
        <v>91997</v>
      </c>
      <c r="AQ658" s="833" t="s">
        <v>492</v>
      </c>
      <c r="AR658" s="833" t="s">
        <v>492</v>
      </c>
      <c r="AS658" s="833" t="s">
        <v>492</v>
      </c>
      <c r="AT658" s="833" t="s">
        <v>492</v>
      </c>
      <c r="AU658" s="833" t="s">
        <v>492</v>
      </c>
      <c r="AV658" s="833" t="s">
        <v>492</v>
      </c>
      <c r="AW658" s="833" t="s">
        <v>492</v>
      </c>
      <c r="AX658" s="820">
        <v>41406</v>
      </c>
      <c r="AY658" s="834" t="s">
        <v>910</v>
      </c>
    </row>
    <row r="659" spans="1:51" ht="19.149999999999999" customHeight="1" x14ac:dyDescent="0.25">
      <c r="A659" s="828"/>
      <c r="B659" s="822"/>
      <c r="C659" s="822"/>
      <c r="D659" s="578" t="s">
        <v>349</v>
      </c>
      <c r="E659" s="583"/>
      <c r="F659" s="583"/>
      <c r="G659" s="583"/>
      <c r="H659" s="582">
        <v>0</v>
      </c>
      <c r="I659" s="580">
        <v>26596205.533596836</v>
      </c>
      <c r="J659" s="580">
        <v>41418049.24242425</v>
      </c>
      <c r="K659" s="580">
        <v>39786193.643754624</v>
      </c>
      <c r="L659" s="580">
        <v>71366484.848484859</v>
      </c>
      <c r="M659" s="580">
        <f>+M658*$Z$641/$Z$640</f>
        <v>72576086.286594763</v>
      </c>
      <c r="N659" s="580">
        <f>+N658*$AA$641/$AA$640</f>
        <v>73465499.108734399</v>
      </c>
      <c r="O659" s="580">
        <f>+O658*$AB$641/$AB$640</f>
        <v>74146997.245179072</v>
      </c>
      <c r="P659" s="580">
        <f>+P658*$AC$641/$AC$640</f>
        <v>73500366.455250189</v>
      </c>
      <c r="Q659" s="580">
        <f>+Q658*$AD$641/$AD$640</f>
        <v>71903074.960127592</v>
      </c>
      <c r="R659" s="580">
        <f>+R658*$AE$641/$AE$640</f>
        <v>75608145.666666657</v>
      </c>
      <c r="S659" s="580"/>
      <c r="T659" s="593"/>
      <c r="U659" s="612">
        <v>0</v>
      </c>
      <c r="V659" s="580">
        <v>26596205.533596836</v>
      </c>
      <c r="W659" s="580">
        <v>41418049.24242425</v>
      </c>
      <c r="X659" s="580">
        <v>39786193.643754624</v>
      </c>
      <c r="Y659" s="580">
        <v>71366484.848484859</v>
      </c>
      <c r="Z659" s="580">
        <f t="shared" si="190"/>
        <v>72576086.286594763</v>
      </c>
      <c r="AA659" s="574">
        <f t="shared" si="190"/>
        <v>73465499.108734399</v>
      </c>
      <c r="AB659" s="574">
        <f t="shared" si="190"/>
        <v>74146997.245179072</v>
      </c>
      <c r="AC659" s="576">
        <f t="shared" si="190"/>
        <v>73500366.455250189</v>
      </c>
      <c r="AD659" s="576">
        <f t="shared" si="190"/>
        <v>71903074.960127592</v>
      </c>
      <c r="AE659" s="580">
        <f t="shared" si="190"/>
        <v>75608145.666666657</v>
      </c>
      <c r="AF659" s="838"/>
      <c r="AG659" s="828"/>
      <c r="AH659" s="822"/>
      <c r="AI659" s="822"/>
      <c r="AJ659" s="668"/>
      <c r="AK659" s="806"/>
      <c r="AL659" s="806"/>
      <c r="AM659" s="806"/>
      <c r="AN659" s="806"/>
      <c r="AO659" s="806"/>
      <c r="AP659" s="806"/>
      <c r="AQ659" s="806"/>
      <c r="AR659" s="806"/>
      <c r="AS659" s="806"/>
      <c r="AT659" s="806"/>
      <c r="AU659" s="806"/>
      <c r="AV659" s="806"/>
      <c r="AW659" s="806"/>
      <c r="AX659" s="806"/>
      <c r="AY659" s="806"/>
    </row>
    <row r="660" spans="1:51" ht="28.9" customHeight="1" x14ac:dyDescent="0.25">
      <c r="A660" s="828"/>
      <c r="B660" s="822"/>
      <c r="C660" s="822"/>
      <c r="D660" s="579" t="s">
        <v>351</v>
      </c>
      <c r="E660" s="583"/>
      <c r="F660" s="583"/>
      <c r="G660" s="583"/>
      <c r="H660" s="583"/>
      <c r="I660" s="575"/>
      <c r="J660" s="575"/>
      <c r="K660" s="575"/>
      <c r="L660" s="575"/>
      <c r="M660" s="575"/>
      <c r="N660" s="574"/>
      <c r="O660" s="575"/>
      <c r="P660" s="575"/>
      <c r="Q660" s="575"/>
      <c r="R660" s="575"/>
      <c r="S660" s="575"/>
      <c r="T660" s="593"/>
      <c r="U660" s="612">
        <v>0</v>
      </c>
      <c r="V660" s="612">
        <v>0</v>
      </c>
      <c r="W660" s="612">
        <v>0</v>
      </c>
      <c r="X660" s="574"/>
      <c r="Y660" s="574"/>
      <c r="Z660" s="580">
        <f t="shared" si="190"/>
        <v>0</v>
      </c>
      <c r="AA660" s="574">
        <f t="shared" si="190"/>
        <v>0</v>
      </c>
      <c r="AB660" s="574">
        <f t="shared" si="190"/>
        <v>0</v>
      </c>
      <c r="AC660" s="576">
        <f t="shared" si="190"/>
        <v>0</v>
      </c>
      <c r="AD660" s="576">
        <f t="shared" si="190"/>
        <v>0</v>
      </c>
      <c r="AE660" s="575"/>
      <c r="AF660" s="838"/>
      <c r="AG660" s="828"/>
      <c r="AH660" s="822"/>
      <c r="AI660" s="822"/>
      <c r="AJ660" s="668"/>
      <c r="AK660" s="806"/>
      <c r="AL660" s="806"/>
      <c r="AM660" s="806"/>
      <c r="AN660" s="806"/>
      <c r="AO660" s="806"/>
      <c r="AP660" s="806"/>
      <c r="AQ660" s="806"/>
      <c r="AR660" s="806"/>
      <c r="AS660" s="806"/>
      <c r="AT660" s="806"/>
      <c r="AU660" s="806"/>
      <c r="AV660" s="806"/>
      <c r="AW660" s="806"/>
      <c r="AX660" s="806"/>
      <c r="AY660" s="806"/>
    </row>
    <row r="661" spans="1:51" ht="28.9" customHeight="1" x14ac:dyDescent="0.25">
      <c r="A661" s="828"/>
      <c r="B661" s="822"/>
      <c r="C661" s="822"/>
      <c r="D661" s="578" t="s">
        <v>352</v>
      </c>
      <c r="E661" s="583"/>
      <c r="F661" s="583"/>
      <c r="G661" s="583"/>
      <c r="H661" s="583">
        <v>6378100</v>
      </c>
      <c r="I661" s="575">
        <v>6378100</v>
      </c>
      <c r="J661" s="575">
        <v>6378100</v>
      </c>
      <c r="K661" s="575">
        <v>6378100</v>
      </c>
      <c r="L661" s="580">
        <v>6378100</v>
      </c>
      <c r="M661" s="580">
        <v>6378100</v>
      </c>
      <c r="N661" s="580">
        <v>6378100</v>
      </c>
      <c r="O661" s="580">
        <v>6378100</v>
      </c>
      <c r="P661" s="580">
        <v>6378100</v>
      </c>
      <c r="Q661" s="580">
        <v>6378100</v>
      </c>
      <c r="R661" s="580">
        <v>6378100</v>
      </c>
      <c r="S661" s="580"/>
      <c r="T661" s="593"/>
      <c r="U661" s="612">
        <v>6378100</v>
      </c>
      <c r="V661" s="612">
        <v>6378100</v>
      </c>
      <c r="W661" s="612">
        <v>6378100</v>
      </c>
      <c r="X661" s="612">
        <v>6378100</v>
      </c>
      <c r="Y661" s="612">
        <v>6378100</v>
      </c>
      <c r="Z661" s="580">
        <f t="shared" si="190"/>
        <v>6378100</v>
      </c>
      <c r="AA661" s="574">
        <f t="shared" si="190"/>
        <v>6378100</v>
      </c>
      <c r="AB661" s="574">
        <f t="shared" si="190"/>
        <v>6378100</v>
      </c>
      <c r="AC661" s="576">
        <f t="shared" si="190"/>
        <v>6378100</v>
      </c>
      <c r="AD661" s="576">
        <f t="shared" si="190"/>
        <v>6378100</v>
      </c>
      <c r="AE661" s="580">
        <f t="shared" si="190"/>
        <v>6378100</v>
      </c>
      <c r="AF661" s="838"/>
      <c r="AG661" s="828"/>
      <c r="AH661" s="822"/>
      <c r="AI661" s="822"/>
      <c r="AJ661" s="668"/>
      <c r="AK661" s="806"/>
      <c r="AL661" s="806"/>
      <c r="AM661" s="806"/>
      <c r="AN661" s="806"/>
      <c r="AO661" s="806"/>
      <c r="AP661" s="806"/>
      <c r="AQ661" s="806"/>
      <c r="AR661" s="806"/>
      <c r="AS661" s="806"/>
      <c r="AT661" s="806"/>
      <c r="AU661" s="806"/>
      <c r="AV661" s="806"/>
      <c r="AW661" s="806"/>
      <c r="AX661" s="806"/>
      <c r="AY661" s="806"/>
    </row>
    <row r="662" spans="1:51" ht="28.9" customHeight="1" x14ac:dyDescent="0.25">
      <c r="A662" s="828"/>
      <c r="B662" s="822"/>
      <c r="C662" s="822"/>
      <c r="D662" s="579" t="s">
        <v>353</v>
      </c>
      <c r="E662" s="582"/>
      <c r="F662" s="582"/>
      <c r="G662" s="582"/>
      <c r="H662" s="582"/>
      <c r="I662" s="580">
        <v>0.06</v>
      </c>
      <c r="J662" s="580">
        <v>0.13</v>
      </c>
      <c r="K662" s="580">
        <v>0.16</v>
      </c>
      <c r="L662" s="580">
        <v>0.35</v>
      </c>
      <c r="M662" s="580">
        <v>0.42</v>
      </c>
      <c r="N662" s="593">
        <v>0.49</v>
      </c>
      <c r="O662" s="580">
        <v>0.56000000000000005</v>
      </c>
      <c r="P662" s="580">
        <v>0.62000000000000011</v>
      </c>
      <c r="Q662" s="580">
        <v>0.67</v>
      </c>
      <c r="R662" s="580">
        <v>0.7</v>
      </c>
      <c r="S662" s="580"/>
      <c r="T662" s="593"/>
      <c r="U662" s="612">
        <v>0</v>
      </c>
      <c r="V662" s="612">
        <v>0.06</v>
      </c>
      <c r="W662" s="612">
        <v>0.13</v>
      </c>
      <c r="X662" s="580">
        <v>0.16</v>
      </c>
      <c r="Y662" s="580">
        <v>0.35</v>
      </c>
      <c r="Z662" s="580">
        <f t="shared" ref="Z662:AE663" si="193">+M662</f>
        <v>0.42</v>
      </c>
      <c r="AA662" s="580">
        <f t="shared" si="193"/>
        <v>0.49</v>
      </c>
      <c r="AB662" s="580">
        <f t="shared" si="193"/>
        <v>0.56000000000000005</v>
      </c>
      <c r="AC662" s="576">
        <f t="shared" si="193"/>
        <v>0.62000000000000011</v>
      </c>
      <c r="AD662" s="576">
        <f t="shared" si="193"/>
        <v>0.67</v>
      </c>
      <c r="AE662" s="580">
        <v>0.7</v>
      </c>
      <c r="AF662" s="838"/>
      <c r="AG662" s="828"/>
      <c r="AH662" s="822"/>
      <c r="AI662" s="822"/>
      <c r="AJ662" s="668"/>
      <c r="AK662" s="806"/>
      <c r="AL662" s="806"/>
      <c r="AM662" s="806"/>
      <c r="AN662" s="806"/>
      <c r="AO662" s="806"/>
      <c r="AP662" s="806"/>
      <c r="AQ662" s="806"/>
      <c r="AR662" s="806"/>
      <c r="AS662" s="806"/>
      <c r="AT662" s="806"/>
      <c r="AU662" s="806"/>
      <c r="AV662" s="806"/>
      <c r="AW662" s="806"/>
      <c r="AX662" s="806"/>
      <c r="AY662" s="806"/>
    </row>
    <row r="663" spans="1:51" ht="28.9" customHeight="1" x14ac:dyDescent="0.25">
      <c r="A663" s="828"/>
      <c r="B663" s="822"/>
      <c r="C663" s="823"/>
      <c r="D663" s="578" t="s">
        <v>354</v>
      </c>
      <c r="E663" s="597"/>
      <c r="F663" s="597"/>
      <c r="G663" s="597"/>
      <c r="H663" s="597">
        <v>6378100</v>
      </c>
      <c r="I663" s="596">
        <v>32974305.533596836</v>
      </c>
      <c r="J663" s="580">
        <v>47796149.24242425</v>
      </c>
      <c r="K663" s="580">
        <v>46164293.643754624</v>
      </c>
      <c r="L663" s="574">
        <v>77744584.848484859</v>
      </c>
      <c r="M663" s="596">
        <f t="shared" ref="M663:R663" si="194">+M659+M661</f>
        <v>78954186.286594763</v>
      </c>
      <c r="N663" s="596">
        <f t="shared" si="194"/>
        <v>79843599.108734399</v>
      </c>
      <c r="O663" s="596">
        <f t="shared" si="194"/>
        <v>80525097.245179072</v>
      </c>
      <c r="P663" s="596">
        <f t="shared" si="194"/>
        <v>79878466.455250189</v>
      </c>
      <c r="Q663" s="596">
        <f t="shared" si="194"/>
        <v>78281174.960127592</v>
      </c>
      <c r="R663" s="596">
        <f t="shared" si="194"/>
        <v>81986245.666666657</v>
      </c>
      <c r="S663" s="596"/>
      <c r="T663" s="593"/>
      <c r="U663" s="612">
        <v>6378100</v>
      </c>
      <c r="V663" s="612">
        <v>32974305.533596836</v>
      </c>
      <c r="W663" s="612">
        <v>47796149.24242425</v>
      </c>
      <c r="X663" s="612">
        <v>46164293.643754624</v>
      </c>
      <c r="Y663" s="612">
        <v>77744584.848484859</v>
      </c>
      <c r="Z663" s="580">
        <f t="shared" si="193"/>
        <v>78954186.286594763</v>
      </c>
      <c r="AA663" s="593">
        <f t="shared" si="193"/>
        <v>79843599.108734399</v>
      </c>
      <c r="AB663" s="593">
        <f t="shared" si="193"/>
        <v>80525097.245179072</v>
      </c>
      <c r="AC663" s="576">
        <f t="shared" si="193"/>
        <v>79878466.455250189</v>
      </c>
      <c r="AD663" s="576">
        <f t="shared" si="193"/>
        <v>78281174.960127592</v>
      </c>
      <c r="AE663" s="596">
        <f t="shared" si="193"/>
        <v>81986245.666666657</v>
      </c>
      <c r="AF663" s="838"/>
      <c r="AG663" s="829"/>
      <c r="AH663" s="823"/>
      <c r="AI663" s="823"/>
      <c r="AJ663" s="668"/>
      <c r="AK663" s="807"/>
      <c r="AL663" s="807"/>
      <c r="AM663" s="807"/>
      <c r="AN663" s="807"/>
      <c r="AO663" s="807"/>
      <c r="AP663" s="807"/>
      <c r="AQ663" s="807"/>
      <c r="AR663" s="807"/>
      <c r="AS663" s="807"/>
      <c r="AT663" s="807"/>
      <c r="AU663" s="807"/>
      <c r="AV663" s="807"/>
      <c r="AW663" s="807"/>
      <c r="AX663" s="807"/>
      <c r="AY663" s="807"/>
    </row>
    <row r="664" spans="1:51" ht="19.149999999999999" customHeight="1" x14ac:dyDescent="0.25">
      <c r="A664" s="828"/>
      <c r="B664" s="822"/>
      <c r="C664" s="821" t="s">
        <v>489</v>
      </c>
      <c r="D664" s="572" t="s">
        <v>345</v>
      </c>
      <c r="E664" s="582"/>
      <c r="F664" s="582"/>
      <c r="G664" s="582"/>
      <c r="H664" s="582">
        <v>3.1153</v>
      </c>
      <c r="I664" s="580">
        <v>2.88</v>
      </c>
      <c r="J664" s="580">
        <v>2.71</v>
      </c>
      <c r="K664" s="580">
        <v>2.61</v>
      </c>
      <c r="L664" s="580">
        <v>2.34</v>
      </c>
      <c r="M664" s="580">
        <v>2.19</v>
      </c>
      <c r="N664" s="581">
        <v>2.0299999999999998</v>
      </c>
      <c r="O664" s="580">
        <v>1.85</v>
      </c>
      <c r="P664" s="580">
        <v>1.69</v>
      </c>
      <c r="Q664" s="580">
        <v>1.56</v>
      </c>
      <c r="R664" s="580">
        <v>1.5</v>
      </c>
      <c r="S664" s="580"/>
      <c r="T664" s="593"/>
      <c r="U664" s="581">
        <v>0.27739999999999998</v>
      </c>
      <c r="V664" s="611">
        <v>0.33900000000000002</v>
      </c>
      <c r="W664" s="593">
        <v>0.46600000000000003</v>
      </c>
      <c r="X664" s="581">
        <v>0.66300000000000003</v>
      </c>
      <c r="Y664" s="580">
        <v>0.69</v>
      </c>
      <c r="Z664" s="580">
        <v>0.83699999999999997</v>
      </c>
      <c r="AA664" s="580">
        <v>0.97399999999999998</v>
      </c>
      <c r="AB664" s="599">
        <v>1.091</v>
      </c>
      <c r="AC664" s="596">
        <v>1.228</v>
      </c>
      <c r="AD664" s="580">
        <v>1.395</v>
      </c>
      <c r="AE664" s="580">
        <v>1.5</v>
      </c>
      <c r="AF664" s="838"/>
      <c r="AG664" s="835" t="s">
        <v>489</v>
      </c>
      <c r="AH664" s="824" t="s">
        <v>178</v>
      </c>
      <c r="AI664" s="824" t="s">
        <v>178</v>
      </c>
      <c r="AJ664" s="824" t="s">
        <v>178</v>
      </c>
      <c r="AK664" s="825" t="s">
        <v>490</v>
      </c>
      <c r="AL664" s="826"/>
      <c r="AM664" s="826" t="s">
        <v>752</v>
      </c>
      <c r="AN664" s="820">
        <v>7968095</v>
      </c>
      <c r="AO664" s="820">
        <v>3815676</v>
      </c>
      <c r="AP664" s="820">
        <v>4152419</v>
      </c>
      <c r="AQ664" s="833" t="s">
        <v>492</v>
      </c>
      <c r="AR664" s="833" t="s">
        <v>492</v>
      </c>
      <c r="AS664" s="833" t="s">
        <v>492</v>
      </c>
      <c r="AT664" s="833" t="s">
        <v>492</v>
      </c>
      <c r="AU664" s="833" t="s">
        <v>492</v>
      </c>
      <c r="AV664" s="833" t="s">
        <v>492</v>
      </c>
      <c r="AW664" s="833" t="s">
        <v>492</v>
      </c>
      <c r="AX664" s="820">
        <v>7936532</v>
      </c>
      <c r="AY664" s="834" t="s">
        <v>911</v>
      </c>
    </row>
    <row r="665" spans="1:51" ht="19.149999999999999" customHeight="1" x14ac:dyDescent="0.25">
      <c r="A665" s="828"/>
      <c r="B665" s="822"/>
      <c r="C665" s="822"/>
      <c r="D665" s="578" t="s">
        <v>349</v>
      </c>
      <c r="E665" s="582"/>
      <c r="F665" s="582"/>
      <c r="G665" s="582"/>
      <c r="H665" s="582">
        <v>249640400.43290001</v>
      </c>
      <c r="I665" s="580">
        <v>183826561.25999999</v>
      </c>
      <c r="J665" s="580">
        <v>182025776.51032934</v>
      </c>
      <c r="K665" s="574">
        <v>198422039.906486</v>
      </c>
      <c r="L665" s="574">
        <v>174251927.26790506</v>
      </c>
      <c r="M665" s="580">
        <v>178191771.95203453</v>
      </c>
      <c r="N665" s="580">
        <v>179589420.67736188</v>
      </c>
      <c r="O665" s="580">
        <v>178012239.27587563</v>
      </c>
      <c r="P665" s="580">
        <f>+Q641-AC641+AD665</f>
        <v>203263042.14832535</v>
      </c>
      <c r="Q665" s="580">
        <f t="shared" ref="Q665:R665" si="195">+Q641-AD641+AD665</f>
        <v>203263042.14832535</v>
      </c>
      <c r="R665" s="580">
        <f t="shared" si="195"/>
        <v>162017455</v>
      </c>
      <c r="S665" s="580"/>
      <c r="T665" s="593"/>
      <c r="U665" s="580">
        <v>180865400.43290046</v>
      </c>
      <c r="V665" s="580">
        <v>150268561.26482216</v>
      </c>
      <c r="W665" s="580">
        <v>148467776.51515153</v>
      </c>
      <c r="X665" s="580">
        <v>164864039.91130823</v>
      </c>
      <c r="Y665" s="580">
        <v>140693927.27272728</v>
      </c>
      <c r="Z665" s="580">
        <f>+Z664*$Z$641/$Z$640</f>
        <v>144633771.9568567</v>
      </c>
      <c r="AA665" s="580">
        <f>+AA664*$AA$641/$AA$640</f>
        <v>146031420.67736185</v>
      </c>
      <c r="AB665" s="580">
        <f>+AB664*$AB$641/$AB$640</f>
        <v>144454239.27587566</v>
      </c>
      <c r="AC665" s="580">
        <f>+AC664*$AC$641/$AC$640</f>
        <v>145578145.1726568</v>
      </c>
      <c r="AD665" s="580">
        <f>+AD664*$AD$641/$AD$640</f>
        <v>149708641.14832535</v>
      </c>
      <c r="AE665" s="580">
        <f>+AE664*$AE$641/$AE$640</f>
        <v>162017455</v>
      </c>
      <c r="AF665" s="838"/>
      <c r="AG665" s="828"/>
      <c r="AH665" s="822"/>
      <c r="AI665" s="822"/>
      <c r="AJ665" s="822"/>
      <c r="AK665" s="806"/>
      <c r="AL665" s="806"/>
      <c r="AM665" s="806"/>
      <c r="AN665" s="806"/>
      <c r="AO665" s="806"/>
      <c r="AP665" s="806"/>
      <c r="AQ665" s="806"/>
      <c r="AR665" s="806"/>
      <c r="AS665" s="806"/>
      <c r="AT665" s="806"/>
      <c r="AU665" s="806"/>
      <c r="AV665" s="806"/>
      <c r="AW665" s="806"/>
      <c r="AX665" s="806"/>
      <c r="AY665" s="806"/>
    </row>
    <row r="666" spans="1:51" ht="28.9" customHeight="1" x14ac:dyDescent="0.25">
      <c r="A666" s="828"/>
      <c r="B666" s="822"/>
      <c r="C666" s="822"/>
      <c r="D666" s="579" t="s">
        <v>351</v>
      </c>
      <c r="E666" s="582"/>
      <c r="F666" s="582"/>
      <c r="G666" s="582"/>
      <c r="H666" s="582"/>
      <c r="I666" s="580"/>
      <c r="J666" s="580"/>
      <c r="K666" s="580"/>
      <c r="L666" s="580"/>
      <c r="M666" s="580"/>
      <c r="N666" s="581"/>
      <c r="O666" s="580"/>
      <c r="P666" s="580"/>
      <c r="Q666" s="580"/>
      <c r="R666" s="580"/>
      <c r="S666" s="580"/>
      <c r="T666" s="593"/>
      <c r="U666" s="581"/>
      <c r="V666" s="581"/>
      <c r="W666" s="581"/>
      <c r="X666" s="581"/>
      <c r="Y666" s="581"/>
      <c r="Z666" s="580"/>
      <c r="AA666" s="580"/>
      <c r="AB666" s="587"/>
      <c r="AC666" s="576"/>
      <c r="AD666" s="580"/>
      <c r="AE666" s="580"/>
      <c r="AF666" s="838"/>
      <c r="AG666" s="828"/>
      <c r="AH666" s="822"/>
      <c r="AI666" s="822"/>
      <c r="AJ666" s="822"/>
      <c r="AK666" s="806"/>
      <c r="AL666" s="806"/>
      <c r="AM666" s="806"/>
      <c r="AN666" s="806"/>
      <c r="AO666" s="806"/>
      <c r="AP666" s="806"/>
      <c r="AQ666" s="806"/>
      <c r="AR666" s="806"/>
      <c r="AS666" s="806"/>
      <c r="AT666" s="806"/>
      <c r="AU666" s="806"/>
      <c r="AV666" s="806"/>
      <c r="AW666" s="806"/>
      <c r="AX666" s="806"/>
      <c r="AY666" s="806"/>
    </row>
    <row r="667" spans="1:51" ht="28.9" customHeight="1" x14ac:dyDescent="0.25">
      <c r="A667" s="828"/>
      <c r="B667" s="822"/>
      <c r="C667" s="822"/>
      <c r="D667" s="578" t="s">
        <v>352</v>
      </c>
      <c r="E667" s="582"/>
      <c r="F667" s="582"/>
      <c r="G667" s="582"/>
      <c r="H667" s="582"/>
      <c r="I667" s="580"/>
      <c r="J667" s="580"/>
      <c r="K667" s="580"/>
      <c r="L667" s="593"/>
      <c r="M667" s="593"/>
      <c r="N667" s="593"/>
      <c r="O667" s="593"/>
      <c r="P667" s="593"/>
      <c r="Q667" s="580"/>
      <c r="R667" s="580"/>
      <c r="S667" s="580"/>
      <c r="T667" s="593"/>
      <c r="U667" s="580"/>
      <c r="V667" s="593"/>
      <c r="W667" s="593"/>
      <c r="X667" s="593"/>
      <c r="Y667" s="593"/>
      <c r="Z667" s="593"/>
      <c r="AA667" s="593"/>
      <c r="AB667" s="593"/>
      <c r="AC667" s="593"/>
      <c r="AD667" s="580"/>
      <c r="AE667" s="580"/>
      <c r="AF667" s="838"/>
      <c r="AG667" s="828"/>
      <c r="AH667" s="822"/>
      <c r="AI667" s="822"/>
      <c r="AJ667" s="822"/>
      <c r="AK667" s="806"/>
      <c r="AL667" s="806"/>
      <c r="AM667" s="806"/>
      <c r="AN667" s="806"/>
      <c r="AO667" s="806"/>
      <c r="AP667" s="806"/>
      <c r="AQ667" s="806"/>
      <c r="AR667" s="806"/>
      <c r="AS667" s="806"/>
      <c r="AT667" s="806"/>
      <c r="AU667" s="806"/>
      <c r="AV667" s="806"/>
      <c r="AW667" s="806"/>
      <c r="AX667" s="806"/>
      <c r="AY667" s="806"/>
    </row>
    <row r="668" spans="1:51" ht="28.9" customHeight="1" x14ac:dyDescent="0.25">
      <c r="A668" s="828"/>
      <c r="B668" s="822"/>
      <c r="C668" s="822"/>
      <c r="D668" s="579" t="s">
        <v>353</v>
      </c>
      <c r="E668" s="582"/>
      <c r="F668" s="582"/>
      <c r="G668" s="582"/>
      <c r="H668" s="582">
        <v>3.1153</v>
      </c>
      <c r="I668" s="580">
        <v>2.88</v>
      </c>
      <c r="J668" s="580">
        <v>2.71</v>
      </c>
      <c r="K668" s="580">
        <v>2.61</v>
      </c>
      <c r="L668" s="580">
        <v>2.34</v>
      </c>
      <c r="M668" s="580">
        <v>2.19</v>
      </c>
      <c r="N668" s="580">
        <f>+N664</f>
        <v>2.0299999999999998</v>
      </c>
      <c r="O668" s="580">
        <v>1.85</v>
      </c>
      <c r="P668" s="580">
        <v>1.69</v>
      </c>
      <c r="Q668" s="580">
        <v>1.56</v>
      </c>
      <c r="R668" s="580">
        <v>1.5</v>
      </c>
      <c r="S668" s="580"/>
      <c r="T668" s="593"/>
      <c r="U668" s="581">
        <v>0.27739999999999998</v>
      </c>
      <c r="V668" s="611">
        <v>0.33900000000000002</v>
      </c>
      <c r="W668" s="593">
        <v>0.46600000000000003</v>
      </c>
      <c r="X668" s="581">
        <v>0.66300000000000003</v>
      </c>
      <c r="Y668" s="580">
        <v>0.69</v>
      </c>
      <c r="Z668" s="580">
        <v>0.83699999999999997</v>
      </c>
      <c r="AA668" s="580">
        <f t="shared" ref="AA668:AB668" si="196">+AA664</f>
        <v>0.97399999999999998</v>
      </c>
      <c r="AB668" s="580">
        <f t="shared" si="196"/>
        <v>1.091</v>
      </c>
      <c r="AC668" s="576">
        <v>1.228</v>
      </c>
      <c r="AD668" s="580">
        <v>1.395</v>
      </c>
      <c r="AE668" s="580">
        <v>1.5</v>
      </c>
      <c r="AF668" s="838"/>
      <c r="AG668" s="828"/>
      <c r="AH668" s="822"/>
      <c r="AI668" s="822"/>
      <c r="AJ668" s="822"/>
      <c r="AK668" s="806"/>
      <c r="AL668" s="806"/>
      <c r="AM668" s="806"/>
      <c r="AN668" s="806"/>
      <c r="AO668" s="806"/>
      <c r="AP668" s="806"/>
      <c r="AQ668" s="806"/>
      <c r="AR668" s="806"/>
      <c r="AS668" s="806"/>
      <c r="AT668" s="806"/>
      <c r="AU668" s="806"/>
      <c r="AV668" s="806"/>
      <c r="AW668" s="806"/>
      <c r="AX668" s="806"/>
      <c r="AY668" s="806"/>
    </row>
    <row r="669" spans="1:51" ht="28.9" customHeight="1" x14ac:dyDescent="0.25">
      <c r="A669" s="828"/>
      <c r="B669" s="822"/>
      <c r="C669" s="823"/>
      <c r="D669" s="578" t="s">
        <v>354</v>
      </c>
      <c r="E669" s="582"/>
      <c r="F669" s="582"/>
      <c r="G669" s="582"/>
      <c r="H669" s="582">
        <v>249640400.43290001</v>
      </c>
      <c r="I669" s="580">
        <v>183826561.25999999</v>
      </c>
      <c r="J669" s="580">
        <v>182025776.51032934</v>
      </c>
      <c r="K669" s="574">
        <v>198422039.906486</v>
      </c>
      <c r="L669" s="574">
        <v>174251927.26790506</v>
      </c>
      <c r="M669" s="596">
        <f t="shared" ref="M669:R669" si="197">+M665+M667</f>
        <v>178191771.95203453</v>
      </c>
      <c r="N669" s="596">
        <f t="shared" si="197"/>
        <v>179589420.67736188</v>
      </c>
      <c r="O669" s="596">
        <f t="shared" si="197"/>
        <v>178012239.27587563</v>
      </c>
      <c r="P669" s="596">
        <f t="shared" si="197"/>
        <v>203263042.14832535</v>
      </c>
      <c r="Q669" s="596">
        <f t="shared" si="197"/>
        <v>203263042.14832535</v>
      </c>
      <c r="R669" s="596">
        <f t="shared" si="197"/>
        <v>162017455</v>
      </c>
      <c r="S669" s="596"/>
      <c r="T669" s="593"/>
      <c r="U669" s="580">
        <v>180865400.43290046</v>
      </c>
      <c r="V669" s="580">
        <v>150268561.26482216</v>
      </c>
      <c r="W669" s="580">
        <v>148467776.51515153</v>
      </c>
      <c r="X669" s="580">
        <v>164864039.91130823</v>
      </c>
      <c r="Y669" s="580">
        <v>140693927.27272728</v>
      </c>
      <c r="Z669" s="596">
        <f t="shared" ref="Z669:AE669" si="198">+Z665+Z667</f>
        <v>144633771.9568567</v>
      </c>
      <c r="AA669" s="596">
        <f t="shared" si="198"/>
        <v>146031420.67736185</v>
      </c>
      <c r="AB669" s="596">
        <f t="shared" si="198"/>
        <v>144454239.27587566</v>
      </c>
      <c r="AC669" s="596">
        <f t="shared" si="198"/>
        <v>145578145.1726568</v>
      </c>
      <c r="AD669" s="596">
        <f t="shared" si="198"/>
        <v>149708641.14832535</v>
      </c>
      <c r="AE669" s="596">
        <f t="shared" si="198"/>
        <v>162017455</v>
      </c>
      <c r="AF669" s="838"/>
      <c r="AG669" s="829"/>
      <c r="AH669" s="823"/>
      <c r="AI669" s="823"/>
      <c r="AJ669" s="823"/>
      <c r="AK669" s="807"/>
      <c r="AL669" s="807"/>
      <c r="AM669" s="807"/>
      <c r="AN669" s="807"/>
      <c r="AO669" s="807"/>
      <c r="AP669" s="807"/>
      <c r="AQ669" s="807"/>
      <c r="AR669" s="807"/>
      <c r="AS669" s="807"/>
      <c r="AT669" s="807"/>
      <c r="AU669" s="807"/>
      <c r="AV669" s="807"/>
      <c r="AW669" s="807"/>
      <c r="AX669" s="807"/>
      <c r="AY669" s="807"/>
    </row>
    <row r="670" spans="1:51" ht="19.149999999999999" customHeight="1" x14ac:dyDescent="0.25">
      <c r="A670" s="828"/>
      <c r="B670" s="822"/>
      <c r="C670" s="821" t="s">
        <v>599</v>
      </c>
      <c r="D670" s="572" t="s">
        <v>345</v>
      </c>
      <c r="E670" s="582">
        <v>3.3000000000000003</v>
      </c>
      <c r="F670" s="582">
        <v>3.3000000000000003</v>
      </c>
      <c r="G670" s="582">
        <v>3.3000000000000003</v>
      </c>
      <c r="H670" s="582">
        <v>3.2999000000000001</v>
      </c>
      <c r="I670" s="580">
        <v>3.3</v>
      </c>
      <c r="J670" s="580">
        <v>3.3</v>
      </c>
      <c r="K670" s="580">
        <v>3.3</v>
      </c>
      <c r="L670" s="580">
        <v>3.3</v>
      </c>
      <c r="M670" s="580">
        <f t="shared" ref="M670:M675" si="199">+M646+M652+M658+M664</f>
        <v>3.3</v>
      </c>
      <c r="N670" s="580">
        <f t="shared" ref="N670:R675" si="200">+N664+N658+N652+N646</f>
        <v>3.2999999999999994</v>
      </c>
      <c r="O670" s="580">
        <f t="shared" si="200"/>
        <v>3.3000000000000003</v>
      </c>
      <c r="P670" s="580">
        <f t="shared" si="200"/>
        <v>3.3000000000000003</v>
      </c>
      <c r="Q670" s="580">
        <f t="shared" si="200"/>
        <v>3.3</v>
      </c>
      <c r="R670" s="580">
        <f t="shared" si="200"/>
        <v>3.3</v>
      </c>
      <c r="S670" s="580"/>
      <c r="T670" s="611">
        <v>0.16500000000000001</v>
      </c>
      <c r="U670" s="640">
        <v>0.46199999999999997</v>
      </c>
      <c r="V670" s="611">
        <v>0.75900000000000001</v>
      </c>
      <c r="W670" s="611">
        <v>1.056</v>
      </c>
      <c r="X670" s="580">
        <v>1.3530000000000002</v>
      </c>
      <c r="Y670" s="580">
        <v>1.65</v>
      </c>
      <c r="Z670" s="580">
        <f t="shared" ref="Z670:AE675" si="201">+Z646+Z652+Z658+Z664</f>
        <v>1.9469999999999998</v>
      </c>
      <c r="AA670" s="580">
        <f t="shared" si="201"/>
        <v>2.2439999999999998</v>
      </c>
      <c r="AB670" s="580">
        <f t="shared" si="201"/>
        <v>2.5410000000000004</v>
      </c>
      <c r="AC670" s="580">
        <f t="shared" si="201"/>
        <v>2.8380000000000001</v>
      </c>
      <c r="AD670" s="580">
        <f t="shared" si="201"/>
        <v>3.1350000000000002</v>
      </c>
      <c r="AE670" s="580">
        <f t="shared" si="201"/>
        <v>3.3</v>
      </c>
      <c r="AF670" s="838"/>
      <c r="AG670" s="835" t="s">
        <v>489</v>
      </c>
      <c r="AH670" s="824" t="s">
        <v>178</v>
      </c>
      <c r="AI670" s="824" t="s">
        <v>178</v>
      </c>
      <c r="AJ670" s="824" t="s">
        <v>178</v>
      </c>
      <c r="AK670" s="825" t="s">
        <v>490</v>
      </c>
      <c r="AL670" s="826"/>
      <c r="AM670" s="826" t="s">
        <v>752</v>
      </c>
      <c r="AN670" s="820">
        <v>7968095</v>
      </c>
      <c r="AO670" s="820">
        <v>3815676</v>
      </c>
      <c r="AP670" s="820">
        <v>4152419</v>
      </c>
      <c r="AQ670" s="833" t="s">
        <v>492</v>
      </c>
      <c r="AR670" s="833" t="s">
        <v>492</v>
      </c>
      <c r="AS670" s="833" t="s">
        <v>492</v>
      </c>
      <c r="AT670" s="833" t="s">
        <v>492</v>
      </c>
      <c r="AU670" s="833" t="s">
        <v>492</v>
      </c>
      <c r="AV670" s="833" t="s">
        <v>492</v>
      </c>
      <c r="AW670" s="833" t="s">
        <v>492</v>
      </c>
      <c r="AX670" s="820">
        <v>7936532</v>
      </c>
      <c r="AY670" s="834"/>
    </row>
    <row r="671" spans="1:51" ht="15.75" customHeight="1" x14ac:dyDescent="0.25">
      <c r="A671" s="828"/>
      <c r="B671" s="822"/>
      <c r="C671" s="822"/>
      <c r="D671" s="578" t="s">
        <v>349</v>
      </c>
      <c r="E671" s="582">
        <v>370000000</v>
      </c>
      <c r="F671" s="582">
        <v>370000000</v>
      </c>
      <c r="G671" s="582">
        <v>370000000</v>
      </c>
      <c r="H671" s="582">
        <v>369999999.99999958</v>
      </c>
      <c r="I671" s="580">
        <v>369999999.99517787</v>
      </c>
      <c r="J671" s="574">
        <v>369999999.99517787</v>
      </c>
      <c r="K671" s="574">
        <v>369999999.99517781</v>
      </c>
      <c r="L671" s="580">
        <v>369999999.99517781</v>
      </c>
      <c r="M671" s="580">
        <f t="shared" si="199"/>
        <v>369999999.99517781</v>
      </c>
      <c r="N671" s="580">
        <f t="shared" si="200"/>
        <v>370000000</v>
      </c>
      <c r="O671" s="580">
        <f t="shared" si="200"/>
        <v>370000000</v>
      </c>
      <c r="P671" s="580">
        <f t="shared" si="200"/>
        <v>394126896.97566855</v>
      </c>
      <c r="Q671" s="580">
        <f t="shared" si="200"/>
        <v>389996400.99999994</v>
      </c>
      <c r="R671" s="580">
        <f t="shared" si="200"/>
        <v>356438400.99999994</v>
      </c>
      <c r="S671" s="580"/>
      <c r="T671" s="580">
        <v>0</v>
      </c>
      <c r="U671" s="611">
        <v>301225000</v>
      </c>
      <c r="V671" s="611">
        <v>336442000</v>
      </c>
      <c r="W671" s="611">
        <v>336442000.00000006</v>
      </c>
      <c r="X671" s="580">
        <v>336442000</v>
      </c>
      <c r="Y671" s="580">
        <v>336442000</v>
      </c>
      <c r="Z671" s="580">
        <f t="shared" si="201"/>
        <v>336442000</v>
      </c>
      <c r="AA671" s="580">
        <f t="shared" si="201"/>
        <v>336442000</v>
      </c>
      <c r="AB671" s="580">
        <f t="shared" si="201"/>
        <v>336442000</v>
      </c>
      <c r="AC671" s="580">
        <f t="shared" si="201"/>
        <v>336442000</v>
      </c>
      <c r="AD671" s="580">
        <f t="shared" si="201"/>
        <v>336442000</v>
      </c>
      <c r="AE671" s="580">
        <f>+AE647+AE653+AE659+AE665</f>
        <v>356438401</v>
      </c>
      <c r="AF671" s="838"/>
      <c r="AG671" s="828"/>
      <c r="AH671" s="822"/>
      <c r="AI671" s="822"/>
      <c r="AJ671" s="822"/>
      <c r="AK671" s="806"/>
      <c r="AL671" s="806"/>
      <c r="AM671" s="806"/>
      <c r="AN671" s="806"/>
      <c r="AO671" s="806"/>
      <c r="AP671" s="806"/>
      <c r="AQ671" s="806"/>
      <c r="AR671" s="806"/>
      <c r="AS671" s="806"/>
      <c r="AT671" s="806"/>
      <c r="AU671" s="806"/>
      <c r="AV671" s="806"/>
      <c r="AW671" s="806"/>
      <c r="AX671" s="806"/>
      <c r="AY671" s="806"/>
    </row>
    <row r="672" spans="1:51" ht="28.9" customHeight="1" x14ac:dyDescent="0.25">
      <c r="A672" s="828"/>
      <c r="B672" s="822"/>
      <c r="C672" s="822"/>
      <c r="D672" s="579" t="s">
        <v>351</v>
      </c>
      <c r="E672" s="582">
        <v>0</v>
      </c>
      <c r="F672" s="582">
        <v>0</v>
      </c>
      <c r="G672" s="582">
        <v>0</v>
      </c>
      <c r="H672" s="582">
        <v>0</v>
      </c>
      <c r="I672" s="580">
        <v>0</v>
      </c>
      <c r="J672" s="580">
        <v>0</v>
      </c>
      <c r="K672" s="580">
        <v>0</v>
      </c>
      <c r="L672" s="580">
        <v>0</v>
      </c>
      <c r="M672" s="580">
        <f t="shared" si="199"/>
        <v>0</v>
      </c>
      <c r="N672" s="580">
        <f t="shared" si="200"/>
        <v>0</v>
      </c>
      <c r="O672" s="580">
        <f t="shared" si="200"/>
        <v>0</v>
      </c>
      <c r="P672" s="580">
        <f t="shared" si="200"/>
        <v>0</v>
      </c>
      <c r="Q672" s="580">
        <f t="shared" si="200"/>
        <v>0</v>
      </c>
      <c r="R672" s="580">
        <f t="shared" si="200"/>
        <v>0</v>
      </c>
      <c r="S672" s="580"/>
      <c r="T672" s="580">
        <v>0</v>
      </c>
      <c r="U672" s="611">
        <v>0</v>
      </c>
      <c r="V672" s="611">
        <v>0</v>
      </c>
      <c r="W672" s="611">
        <v>0</v>
      </c>
      <c r="X672" s="580">
        <v>0</v>
      </c>
      <c r="Y672" s="580">
        <v>0</v>
      </c>
      <c r="Z672" s="580">
        <f t="shared" si="201"/>
        <v>0</v>
      </c>
      <c r="AA672" s="580">
        <f t="shared" si="201"/>
        <v>0</v>
      </c>
      <c r="AB672" s="580">
        <f t="shared" si="201"/>
        <v>0</v>
      </c>
      <c r="AC672" s="580">
        <f t="shared" si="201"/>
        <v>0</v>
      </c>
      <c r="AD672" s="580">
        <f t="shared" si="201"/>
        <v>0</v>
      </c>
      <c r="AE672" s="580">
        <f t="shared" si="201"/>
        <v>0</v>
      </c>
      <c r="AF672" s="838"/>
      <c r="AG672" s="828"/>
      <c r="AH672" s="822"/>
      <c r="AI672" s="822"/>
      <c r="AJ672" s="822"/>
      <c r="AK672" s="806"/>
      <c r="AL672" s="806"/>
      <c r="AM672" s="806"/>
      <c r="AN672" s="806"/>
      <c r="AO672" s="806"/>
      <c r="AP672" s="806"/>
      <c r="AQ672" s="806"/>
      <c r="AR672" s="806"/>
      <c r="AS672" s="806"/>
      <c r="AT672" s="806"/>
      <c r="AU672" s="806"/>
      <c r="AV672" s="806"/>
      <c r="AW672" s="806"/>
      <c r="AX672" s="806"/>
      <c r="AY672" s="806"/>
    </row>
    <row r="673" spans="1:51" ht="28.9" customHeight="1" x14ac:dyDescent="0.25">
      <c r="A673" s="828"/>
      <c r="B673" s="822"/>
      <c r="C673" s="822"/>
      <c r="D673" s="578" t="s">
        <v>352</v>
      </c>
      <c r="E673" s="582">
        <v>19134300</v>
      </c>
      <c r="F673" s="582">
        <v>19134300</v>
      </c>
      <c r="G673" s="582">
        <v>19134300</v>
      </c>
      <c r="H673" s="582">
        <v>19134300</v>
      </c>
      <c r="I673" s="580">
        <v>19134300</v>
      </c>
      <c r="J673" s="580">
        <v>19134300</v>
      </c>
      <c r="K673" s="580">
        <v>19134300</v>
      </c>
      <c r="L673" s="580">
        <v>19134300</v>
      </c>
      <c r="M673" s="580">
        <f t="shared" si="199"/>
        <v>19134300</v>
      </c>
      <c r="N673" s="580">
        <f t="shared" si="200"/>
        <v>19134300</v>
      </c>
      <c r="O673" s="580">
        <f t="shared" si="200"/>
        <v>19134300</v>
      </c>
      <c r="P673" s="580">
        <f t="shared" si="200"/>
        <v>19134300</v>
      </c>
      <c r="Q673" s="580">
        <f t="shared" si="200"/>
        <v>19134300</v>
      </c>
      <c r="R673" s="580">
        <f t="shared" si="200"/>
        <v>19134300</v>
      </c>
      <c r="S673" s="580"/>
      <c r="T673" s="580">
        <v>15561467</v>
      </c>
      <c r="U673" s="611">
        <v>19134300</v>
      </c>
      <c r="V673" s="611">
        <v>19134300</v>
      </c>
      <c r="W673" s="611">
        <v>19134300</v>
      </c>
      <c r="X673" s="580">
        <v>19134300</v>
      </c>
      <c r="Y673" s="580">
        <v>19134300</v>
      </c>
      <c r="Z673" s="580">
        <f t="shared" si="201"/>
        <v>19134300</v>
      </c>
      <c r="AA673" s="580">
        <f t="shared" si="201"/>
        <v>19134300</v>
      </c>
      <c r="AB673" s="580">
        <f t="shared" si="201"/>
        <v>19134300</v>
      </c>
      <c r="AC673" s="580">
        <f t="shared" si="201"/>
        <v>19134300</v>
      </c>
      <c r="AD673" s="580">
        <f t="shared" si="201"/>
        <v>19134300</v>
      </c>
      <c r="AE673" s="580">
        <f t="shared" si="201"/>
        <v>19134300</v>
      </c>
      <c r="AF673" s="838"/>
      <c r="AG673" s="828"/>
      <c r="AH673" s="822"/>
      <c r="AI673" s="822"/>
      <c r="AJ673" s="822"/>
      <c r="AK673" s="806"/>
      <c r="AL673" s="806"/>
      <c r="AM673" s="806"/>
      <c r="AN673" s="806"/>
      <c r="AO673" s="806"/>
      <c r="AP673" s="806"/>
      <c r="AQ673" s="806"/>
      <c r="AR673" s="806"/>
      <c r="AS673" s="806"/>
      <c r="AT673" s="806"/>
      <c r="AU673" s="806"/>
      <c r="AV673" s="806"/>
      <c r="AW673" s="806"/>
      <c r="AX673" s="806"/>
      <c r="AY673" s="806"/>
    </row>
    <row r="674" spans="1:51" ht="28.9" customHeight="1" x14ac:dyDescent="0.25">
      <c r="A674" s="828"/>
      <c r="B674" s="822"/>
      <c r="C674" s="822"/>
      <c r="D674" s="579" t="s">
        <v>353</v>
      </c>
      <c r="E674" s="582">
        <v>3.3000000000000003</v>
      </c>
      <c r="F674" s="582">
        <v>3.3000000000000003</v>
      </c>
      <c r="G674" s="582">
        <v>3.3000000000000003</v>
      </c>
      <c r="H674" s="582">
        <v>3.2999000000000001</v>
      </c>
      <c r="I674" s="580">
        <v>3.3</v>
      </c>
      <c r="J674" s="580">
        <v>3.3</v>
      </c>
      <c r="K674" s="580">
        <v>3.3</v>
      </c>
      <c r="L674" s="580">
        <v>3.3</v>
      </c>
      <c r="M674" s="580">
        <f t="shared" si="199"/>
        <v>3.3</v>
      </c>
      <c r="N674" s="580">
        <f t="shared" si="200"/>
        <v>3.2999999999999994</v>
      </c>
      <c r="O674" s="580">
        <f t="shared" si="200"/>
        <v>3.3000000000000003</v>
      </c>
      <c r="P674" s="580">
        <f t="shared" si="200"/>
        <v>3.3000000000000003</v>
      </c>
      <c r="Q674" s="580">
        <f t="shared" si="200"/>
        <v>3.3</v>
      </c>
      <c r="R674" s="580">
        <f t="shared" si="200"/>
        <v>3.3</v>
      </c>
      <c r="S674" s="580"/>
      <c r="T674" s="611">
        <v>0.16500000000000001</v>
      </c>
      <c r="U674" s="611">
        <v>0.46199999999999997</v>
      </c>
      <c r="V674" s="611">
        <v>0.75900000000000001</v>
      </c>
      <c r="W674" s="611">
        <v>1.056</v>
      </c>
      <c r="X674" s="580">
        <v>1.3530000000000002</v>
      </c>
      <c r="Y674" s="580">
        <v>1.65</v>
      </c>
      <c r="Z674" s="580">
        <f t="shared" si="201"/>
        <v>1.9469999999999998</v>
      </c>
      <c r="AA674" s="580">
        <f t="shared" si="201"/>
        <v>2.2439999999999998</v>
      </c>
      <c r="AB674" s="580">
        <f t="shared" si="201"/>
        <v>2.5410000000000004</v>
      </c>
      <c r="AC674" s="580">
        <f t="shared" si="201"/>
        <v>2.8380000000000001</v>
      </c>
      <c r="AD674" s="580">
        <f t="shared" si="201"/>
        <v>3.1350000000000002</v>
      </c>
      <c r="AE674" s="580">
        <f t="shared" si="201"/>
        <v>3.3</v>
      </c>
      <c r="AF674" s="838"/>
      <c r="AG674" s="828"/>
      <c r="AH674" s="822"/>
      <c r="AI674" s="822"/>
      <c r="AJ674" s="822"/>
      <c r="AK674" s="806"/>
      <c r="AL674" s="806"/>
      <c r="AM674" s="806"/>
      <c r="AN674" s="806"/>
      <c r="AO674" s="806"/>
      <c r="AP674" s="806"/>
      <c r="AQ674" s="806"/>
      <c r="AR674" s="806"/>
      <c r="AS674" s="806"/>
      <c r="AT674" s="806"/>
      <c r="AU674" s="806"/>
      <c r="AV674" s="806"/>
      <c r="AW674" s="806"/>
      <c r="AX674" s="806"/>
      <c r="AY674" s="806"/>
    </row>
    <row r="675" spans="1:51" ht="15.75" customHeight="1" thickBot="1" x14ac:dyDescent="0.3">
      <c r="A675" s="829"/>
      <c r="B675" s="832"/>
      <c r="C675" s="823"/>
      <c r="D675" s="578" t="s">
        <v>354</v>
      </c>
      <c r="E675" s="582">
        <v>389134300</v>
      </c>
      <c r="F675" s="582">
        <v>389134300</v>
      </c>
      <c r="G675" s="582">
        <v>389134300</v>
      </c>
      <c r="H675" s="582">
        <v>389134299.99999958</v>
      </c>
      <c r="I675" s="580">
        <v>389134299.99517787</v>
      </c>
      <c r="J675" s="580">
        <v>389134299.99517787</v>
      </c>
      <c r="K675" s="580">
        <v>389134299.99517781</v>
      </c>
      <c r="L675" s="580">
        <v>389134299.99517781</v>
      </c>
      <c r="M675" s="580">
        <f t="shared" si="199"/>
        <v>389134299.99517781</v>
      </c>
      <c r="N675" s="580">
        <f t="shared" si="200"/>
        <v>389134300</v>
      </c>
      <c r="O675" s="580">
        <f t="shared" si="200"/>
        <v>389134300</v>
      </c>
      <c r="P675" s="580">
        <f t="shared" si="200"/>
        <v>413261196.97566855</v>
      </c>
      <c r="Q675" s="580">
        <f t="shared" si="200"/>
        <v>409130701</v>
      </c>
      <c r="R675" s="580">
        <f t="shared" si="200"/>
        <v>375572700.99999994</v>
      </c>
      <c r="S675" s="580"/>
      <c r="T675" s="580">
        <v>15561467</v>
      </c>
      <c r="U675" s="611">
        <v>320359300</v>
      </c>
      <c r="V675" s="611">
        <v>355576300</v>
      </c>
      <c r="W675" s="611">
        <v>355576300.00000006</v>
      </c>
      <c r="X675" s="580">
        <v>355576300</v>
      </c>
      <c r="Y675" s="580">
        <v>355576300</v>
      </c>
      <c r="Z675" s="580">
        <f t="shared" si="201"/>
        <v>355576300</v>
      </c>
      <c r="AA675" s="580">
        <f t="shared" si="201"/>
        <v>355576300</v>
      </c>
      <c r="AB675" s="580">
        <f t="shared" si="201"/>
        <v>355576300</v>
      </c>
      <c r="AC675" s="580">
        <f t="shared" si="201"/>
        <v>355576300</v>
      </c>
      <c r="AD675" s="580">
        <f t="shared" si="201"/>
        <v>355576300</v>
      </c>
      <c r="AE675" s="580">
        <f t="shared" si="201"/>
        <v>375572701</v>
      </c>
      <c r="AF675" s="839"/>
      <c r="AG675" s="829"/>
      <c r="AH675" s="823"/>
      <c r="AI675" s="823"/>
      <c r="AJ675" s="823"/>
      <c r="AK675" s="807"/>
      <c r="AL675" s="807"/>
      <c r="AM675" s="807"/>
      <c r="AN675" s="807"/>
      <c r="AO675" s="807"/>
      <c r="AP675" s="807"/>
      <c r="AQ675" s="807"/>
      <c r="AR675" s="807"/>
      <c r="AS675" s="807"/>
      <c r="AT675" s="807"/>
      <c r="AU675" s="807"/>
      <c r="AV675" s="807"/>
      <c r="AW675" s="807"/>
      <c r="AX675" s="807"/>
      <c r="AY675" s="807"/>
    </row>
    <row r="676" spans="1:51" ht="19.149999999999999" customHeight="1" x14ac:dyDescent="0.25">
      <c r="A676" s="827">
        <v>9</v>
      </c>
      <c r="B676" s="830" t="s">
        <v>912</v>
      </c>
      <c r="C676" s="821" t="s">
        <v>913</v>
      </c>
      <c r="D676" s="572" t="s">
        <v>345</v>
      </c>
      <c r="E676" s="582"/>
      <c r="F676" s="582"/>
      <c r="G676" s="582"/>
      <c r="H676" s="582"/>
      <c r="I676" s="580"/>
      <c r="J676" s="580"/>
      <c r="K676" s="580"/>
      <c r="L676" s="580"/>
      <c r="M676" s="580"/>
      <c r="N676" s="580"/>
      <c r="O676" s="580"/>
      <c r="P676" s="580"/>
      <c r="Q676" s="580"/>
      <c r="R676" s="580"/>
      <c r="S676" s="580"/>
      <c r="T676" s="580"/>
      <c r="U676" s="593"/>
      <c r="V676" s="593"/>
      <c r="W676" s="593"/>
      <c r="X676" s="581"/>
      <c r="Y676" s="593"/>
      <c r="Z676" s="593"/>
      <c r="AA676" s="593"/>
      <c r="AB676" s="610"/>
      <c r="AC676" s="576"/>
      <c r="AD676" s="576"/>
      <c r="AE676" s="580"/>
      <c r="AF676" s="831"/>
      <c r="AG676" s="821" t="s">
        <v>489</v>
      </c>
      <c r="AH676" s="824" t="s">
        <v>178</v>
      </c>
      <c r="AI676" s="824" t="s">
        <v>178</v>
      </c>
      <c r="AJ676" s="824" t="s">
        <v>178</v>
      </c>
      <c r="AK676" s="825" t="s">
        <v>490</v>
      </c>
      <c r="AL676" s="826"/>
      <c r="AM676" s="826" t="s">
        <v>914</v>
      </c>
      <c r="AN676" s="820">
        <v>7804660</v>
      </c>
      <c r="AO676" s="820">
        <v>3721767</v>
      </c>
      <c r="AP676" s="820">
        <v>4082893</v>
      </c>
      <c r="AQ676" s="805" t="s">
        <v>492</v>
      </c>
      <c r="AR676" s="805" t="s">
        <v>492</v>
      </c>
      <c r="AS676" s="805" t="s">
        <v>492</v>
      </c>
      <c r="AT676" s="805" t="s">
        <v>492</v>
      </c>
      <c r="AU676" s="805" t="s">
        <v>492</v>
      </c>
      <c r="AV676" s="805" t="s">
        <v>492</v>
      </c>
      <c r="AW676" s="805" t="s">
        <v>492</v>
      </c>
      <c r="AX676" s="808">
        <v>7804660</v>
      </c>
      <c r="AY676" s="600"/>
    </row>
    <row r="677" spans="1:51" ht="19.149999999999999" customHeight="1" x14ac:dyDescent="0.25">
      <c r="A677" s="828"/>
      <c r="B677" s="822"/>
      <c r="C677" s="822"/>
      <c r="D677" s="578" t="s">
        <v>349</v>
      </c>
      <c r="E677" s="582"/>
      <c r="F677" s="582"/>
      <c r="G677" s="582"/>
      <c r="H677" s="582"/>
      <c r="I677" s="580"/>
      <c r="J677" s="580"/>
      <c r="K677" s="580"/>
      <c r="L677" s="580"/>
      <c r="M677" s="580"/>
      <c r="N677" s="580"/>
      <c r="O677" s="580"/>
      <c r="P677" s="580"/>
      <c r="Q677" s="580"/>
      <c r="R677" s="580"/>
      <c r="S677" s="580"/>
      <c r="T677" s="580"/>
      <c r="U677" s="593"/>
      <c r="V677" s="593"/>
      <c r="W677" s="593"/>
      <c r="X677" s="581"/>
      <c r="Y677" s="593"/>
      <c r="Z677" s="593"/>
      <c r="AA677" s="593"/>
      <c r="AB677" s="610"/>
      <c r="AC677" s="576"/>
      <c r="AD677" s="576"/>
      <c r="AE677" s="580"/>
      <c r="AF677" s="822"/>
      <c r="AG677" s="822"/>
      <c r="AH677" s="822"/>
      <c r="AI677" s="822"/>
      <c r="AJ677" s="822"/>
      <c r="AK677" s="806"/>
      <c r="AL677" s="806"/>
      <c r="AM677" s="806"/>
      <c r="AN677" s="806"/>
      <c r="AO677" s="806"/>
      <c r="AP677" s="806"/>
      <c r="AQ677" s="806"/>
      <c r="AR677" s="806"/>
      <c r="AS677" s="806"/>
      <c r="AT677" s="806"/>
      <c r="AU677" s="806"/>
      <c r="AV677" s="806"/>
      <c r="AW677" s="806"/>
      <c r="AX677" s="806"/>
      <c r="AY677" s="600"/>
    </row>
    <row r="678" spans="1:51" ht="28.9" customHeight="1" x14ac:dyDescent="0.25">
      <c r="A678" s="828"/>
      <c r="B678" s="822"/>
      <c r="C678" s="822"/>
      <c r="D678" s="579" t="s">
        <v>351</v>
      </c>
      <c r="E678" s="582"/>
      <c r="F678" s="582"/>
      <c r="G678" s="582"/>
      <c r="H678" s="582"/>
      <c r="I678" s="580"/>
      <c r="J678" s="580"/>
      <c r="K678" s="580"/>
      <c r="L678" s="580"/>
      <c r="M678" s="580"/>
      <c r="N678" s="580"/>
      <c r="O678" s="580"/>
      <c r="P678" s="580"/>
      <c r="Q678" s="580"/>
      <c r="R678" s="580"/>
      <c r="S678" s="580"/>
      <c r="T678" s="580"/>
      <c r="U678" s="593"/>
      <c r="V678" s="593"/>
      <c r="W678" s="593"/>
      <c r="X678" s="581"/>
      <c r="Y678" s="574"/>
      <c r="Z678" s="593"/>
      <c r="AA678" s="593"/>
      <c r="AB678" s="610"/>
      <c r="AC678" s="576"/>
      <c r="AD678" s="576"/>
      <c r="AE678" s="580"/>
      <c r="AF678" s="822"/>
      <c r="AG678" s="822"/>
      <c r="AH678" s="822"/>
      <c r="AI678" s="822"/>
      <c r="AJ678" s="822"/>
      <c r="AK678" s="806"/>
      <c r="AL678" s="806"/>
      <c r="AM678" s="806"/>
      <c r="AN678" s="806"/>
      <c r="AO678" s="806"/>
      <c r="AP678" s="806"/>
      <c r="AQ678" s="806"/>
      <c r="AR678" s="806"/>
      <c r="AS678" s="806"/>
      <c r="AT678" s="806"/>
      <c r="AU678" s="806"/>
      <c r="AV678" s="806"/>
      <c r="AW678" s="806"/>
      <c r="AX678" s="806"/>
      <c r="AY678" s="600"/>
    </row>
    <row r="679" spans="1:51" ht="28.9" customHeight="1" x14ac:dyDescent="0.25">
      <c r="A679" s="828"/>
      <c r="B679" s="822"/>
      <c r="C679" s="822"/>
      <c r="D679" s="578" t="s">
        <v>352</v>
      </c>
      <c r="E679" s="582"/>
      <c r="F679" s="582"/>
      <c r="G679" s="582"/>
      <c r="H679" s="582"/>
      <c r="I679" s="580"/>
      <c r="J679" s="580"/>
      <c r="K679" s="580"/>
      <c r="L679" s="575"/>
      <c r="M679" s="575"/>
      <c r="N679" s="575"/>
      <c r="O679" s="580"/>
      <c r="P679" s="580"/>
      <c r="Q679" s="580"/>
      <c r="R679" s="580"/>
      <c r="S679" s="580"/>
      <c r="T679" s="580"/>
      <c r="U679" s="593"/>
      <c r="V679" s="593"/>
      <c r="W679" s="593"/>
      <c r="X679" s="581"/>
      <c r="Y679" s="574"/>
      <c r="Z679" s="593"/>
      <c r="AA679" s="593"/>
      <c r="AB679" s="610"/>
      <c r="AC679" s="576"/>
      <c r="AD679" s="576"/>
      <c r="AE679" s="580"/>
      <c r="AF679" s="822"/>
      <c r="AG679" s="822"/>
      <c r="AH679" s="822"/>
      <c r="AI679" s="822"/>
      <c r="AJ679" s="822"/>
      <c r="AK679" s="806"/>
      <c r="AL679" s="806"/>
      <c r="AM679" s="806"/>
      <c r="AN679" s="806"/>
      <c r="AO679" s="806"/>
      <c r="AP679" s="806"/>
      <c r="AQ679" s="806"/>
      <c r="AR679" s="806"/>
      <c r="AS679" s="806"/>
      <c r="AT679" s="806"/>
      <c r="AU679" s="806"/>
      <c r="AV679" s="806"/>
      <c r="AW679" s="806"/>
      <c r="AX679" s="806"/>
      <c r="AY679" s="600"/>
    </row>
    <row r="680" spans="1:51" ht="28.9" customHeight="1" x14ac:dyDescent="0.25">
      <c r="A680" s="828"/>
      <c r="B680" s="822"/>
      <c r="C680" s="822"/>
      <c r="D680" s="579" t="s">
        <v>353</v>
      </c>
      <c r="E680" s="582"/>
      <c r="F680" s="582"/>
      <c r="G680" s="582"/>
      <c r="H680" s="582"/>
      <c r="I680" s="580"/>
      <c r="J680" s="580"/>
      <c r="K680" s="580"/>
      <c r="L680" s="575"/>
      <c r="M680" s="575"/>
      <c r="N680" s="575"/>
      <c r="O680" s="580"/>
      <c r="P680" s="580"/>
      <c r="Q680" s="580"/>
      <c r="R680" s="580"/>
      <c r="S680" s="580"/>
      <c r="T680" s="580"/>
      <c r="U680" s="593"/>
      <c r="V680" s="593"/>
      <c r="W680" s="593"/>
      <c r="X680" s="581"/>
      <c r="Y680" s="574"/>
      <c r="Z680" s="593"/>
      <c r="AA680" s="593"/>
      <c r="AB680" s="610"/>
      <c r="AC680" s="576"/>
      <c r="AD680" s="576"/>
      <c r="AE680" s="580"/>
      <c r="AF680" s="822"/>
      <c r="AG680" s="822"/>
      <c r="AH680" s="822"/>
      <c r="AI680" s="822"/>
      <c r="AJ680" s="822"/>
      <c r="AK680" s="806"/>
      <c r="AL680" s="806"/>
      <c r="AM680" s="806"/>
      <c r="AN680" s="806"/>
      <c r="AO680" s="806"/>
      <c r="AP680" s="806"/>
      <c r="AQ680" s="806"/>
      <c r="AR680" s="806"/>
      <c r="AS680" s="806"/>
      <c r="AT680" s="806"/>
      <c r="AU680" s="806"/>
      <c r="AV680" s="806"/>
      <c r="AW680" s="806"/>
      <c r="AX680" s="806"/>
      <c r="AY680" s="600"/>
    </row>
    <row r="681" spans="1:51" ht="28.9" customHeight="1" x14ac:dyDescent="0.25">
      <c r="A681" s="828"/>
      <c r="B681" s="822"/>
      <c r="C681" s="823"/>
      <c r="D681" s="578" t="s">
        <v>354</v>
      </c>
      <c r="E681" s="582"/>
      <c r="F681" s="582"/>
      <c r="G681" s="582"/>
      <c r="H681" s="582"/>
      <c r="I681" s="580"/>
      <c r="J681" s="580"/>
      <c r="K681" s="580"/>
      <c r="L681" s="575"/>
      <c r="M681" s="575"/>
      <c r="N681" s="575"/>
      <c r="O681" s="580"/>
      <c r="P681" s="580"/>
      <c r="Q681" s="580"/>
      <c r="R681" s="580"/>
      <c r="S681" s="580"/>
      <c r="T681" s="580"/>
      <c r="U681" s="593"/>
      <c r="V681" s="593"/>
      <c r="W681" s="593"/>
      <c r="X681" s="581"/>
      <c r="Y681" s="574"/>
      <c r="Z681" s="593"/>
      <c r="AA681" s="593"/>
      <c r="AB681" s="610"/>
      <c r="AC681" s="576"/>
      <c r="AD681" s="576"/>
      <c r="AE681" s="580"/>
      <c r="AF681" s="822"/>
      <c r="AG681" s="823"/>
      <c r="AH681" s="823"/>
      <c r="AI681" s="823"/>
      <c r="AJ681" s="823"/>
      <c r="AK681" s="807"/>
      <c r="AL681" s="807"/>
      <c r="AM681" s="807"/>
      <c r="AN681" s="807"/>
      <c r="AO681" s="807"/>
      <c r="AP681" s="807"/>
      <c r="AQ681" s="807"/>
      <c r="AR681" s="807"/>
      <c r="AS681" s="807"/>
      <c r="AT681" s="807"/>
      <c r="AU681" s="807"/>
      <c r="AV681" s="807"/>
      <c r="AW681" s="807"/>
      <c r="AX681" s="807"/>
      <c r="AY681" s="600"/>
    </row>
    <row r="682" spans="1:51" ht="19.149999999999999" customHeight="1" x14ac:dyDescent="0.25">
      <c r="A682" s="828"/>
      <c r="B682" s="822"/>
      <c r="C682" s="821" t="s">
        <v>599</v>
      </c>
      <c r="D682" s="572" t="s">
        <v>345</v>
      </c>
      <c r="E682" s="582"/>
      <c r="F682" s="582"/>
      <c r="G682" s="582"/>
      <c r="H682" s="582"/>
      <c r="I682" s="580"/>
      <c r="J682" s="580"/>
      <c r="K682" s="580"/>
      <c r="L682" s="580"/>
      <c r="M682" s="580"/>
      <c r="N682" s="580"/>
      <c r="O682" s="580"/>
      <c r="P682" s="580"/>
      <c r="Q682" s="580"/>
      <c r="R682" s="580"/>
      <c r="S682" s="580"/>
      <c r="T682" s="580"/>
      <c r="U682" s="580"/>
      <c r="V682" s="580"/>
      <c r="W682" s="580"/>
      <c r="X682" s="581"/>
      <c r="Y682" s="580"/>
      <c r="Z682" s="581"/>
      <c r="AA682" s="581"/>
      <c r="AB682" s="580"/>
      <c r="AC682" s="580"/>
      <c r="AD682" s="580"/>
      <c r="AE682" s="580"/>
      <c r="AF682" s="822"/>
      <c r="AG682" s="821" t="s">
        <v>489</v>
      </c>
      <c r="AH682" s="824" t="s">
        <v>178</v>
      </c>
      <c r="AI682" s="824" t="s">
        <v>178</v>
      </c>
      <c r="AJ682" s="824" t="s">
        <v>178</v>
      </c>
      <c r="AK682" s="825" t="s">
        <v>490</v>
      </c>
      <c r="AL682" s="826"/>
      <c r="AM682" s="826" t="s">
        <v>914</v>
      </c>
      <c r="AN682" s="820">
        <v>7804660</v>
      </c>
      <c r="AO682" s="820">
        <v>3721767</v>
      </c>
      <c r="AP682" s="820">
        <v>4082893</v>
      </c>
      <c r="AQ682" s="805" t="s">
        <v>492</v>
      </c>
      <c r="AR682" s="805" t="s">
        <v>492</v>
      </c>
      <c r="AS682" s="805" t="s">
        <v>492</v>
      </c>
      <c r="AT682" s="805" t="s">
        <v>492</v>
      </c>
      <c r="AU682" s="805" t="s">
        <v>492</v>
      </c>
      <c r="AV682" s="805" t="s">
        <v>492</v>
      </c>
      <c r="AW682" s="805" t="s">
        <v>492</v>
      </c>
      <c r="AX682" s="808">
        <v>7804660</v>
      </c>
      <c r="AY682" s="600"/>
    </row>
    <row r="683" spans="1:51" ht="19.149999999999999" customHeight="1" x14ac:dyDescent="0.25">
      <c r="A683" s="828"/>
      <c r="B683" s="822"/>
      <c r="C683" s="822"/>
      <c r="D683" s="578" t="s">
        <v>349</v>
      </c>
      <c r="E683" s="582"/>
      <c r="F683" s="582"/>
      <c r="G683" s="582"/>
      <c r="H683" s="582"/>
      <c r="I683" s="580"/>
      <c r="J683" s="580"/>
      <c r="K683" s="580"/>
      <c r="L683" s="580"/>
      <c r="M683" s="580"/>
      <c r="N683" s="580"/>
      <c r="O683" s="580"/>
      <c r="P683" s="580"/>
      <c r="Q683" s="580"/>
      <c r="R683" s="580"/>
      <c r="S683" s="580"/>
      <c r="T683" s="580"/>
      <c r="U683" s="580"/>
      <c r="V683" s="580"/>
      <c r="W683" s="580"/>
      <c r="X683" s="581"/>
      <c r="Y683" s="580"/>
      <c r="Z683" s="581"/>
      <c r="AA683" s="581"/>
      <c r="AB683" s="580"/>
      <c r="AC683" s="580"/>
      <c r="AD683" s="580"/>
      <c r="AE683" s="580"/>
      <c r="AF683" s="822"/>
      <c r="AG683" s="822"/>
      <c r="AH683" s="822"/>
      <c r="AI683" s="822"/>
      <c r="AJ683" s="822"/>
      <c r="AK683" s="806"/>
      <c r="AL683" s="806"/>
      <c r="AM683" s="806"/>
      <c r="AN683" s="806"/>
      <c r="AO683" s="806"/>
      <c r="AP683" s="806"/>
      <c r="AQ683" s="806"/>
      <c r="AR683" s="806"/>
      <c r="AS683" s="806"/>
      <c r="AT683" s="806"/>
      <c r="AU683" s="806"/>
      <c r="AV683" s="806"/>
      <c r="AW683" s="806"/>
      <c r="AX683" s="806"/>
      <c r="AY683" s="600"/>
    </row>
    <row r="684" spans="1:51" ht="28.9" customHeight="1" x14ac:dyDescent="0.25">
      <c r="A684" s="828"/>
      <c r="B684" s="822"/>
      <c r="C684" s="822"/>
      <c r="D684" s="579" t="s">
        <v>351</v>
      </c>
      <c r="E684" s="582"/>
      <c r="F684" s="582"/>
      <c r="G684" s="582"/>
      <c r="H684" s="582"/>
      <c r="I684" s="580"/>
      <c r="J684" s="580"/>
      <c r="K684" s="580"/>
      <c r="L684" s="580"/>
      <c r="M684" s="580"/>
      <c r="N684" s="580"/>
      <c r="O684" s="580"/>
      <c r="P684" s="580"/>
      <c r="Q684" s="580"/>
      <c r="R684" s="580"/>
      <c r="S684" s="580"/>
      <c r="T684" s="580"/>
      <c r="U684" s="580"/>
      <c r="V684" s="580"/>
      <c r="W684" s="580"/>
      <c r="X684" s="581"/>
      <c r="Y684" s="580"/>
      <c r="Z684" s="581"/>
      <c r="AA684" s="581"/>
      <c r="AB684" s="580"/>
      <c r="AC684" s="580"/>
      <c r="AD684" s="580"/>
      <c r="AE684" s="580"/>
      <c r="AF684" s="822"/>
      <c r="AG684" s="822"/>
      <c r="AH684" s="822"/>
      <c r="AI684" s="822"/>
      <c r="AJ684" s="822"/>
      <c r="AK684" s="806"/>
      <c r="AL684" s="806"/>
      <c r="AM684" s="806"/>
      <c r="AN684" s="806"/>
      <c r="AO684" s="806"/>
      <c r="AP684" s="806"/>
      <c r="AQ684" s="806"/>
      <c r="AR684" s="806"/>
      <c r="AS684" s="806"/>
      <c r="AT684" s="806"/>
      <c r="AU684" s="806"/>
      <c r="AV684" s="806"/>
      <c r="AW684" s="806"/>
      <c r="AX684" s="806"/>
      <c r="AY684" s="600"/>
    </row>
    <row r="685" spans="1:51" ht="28.9" customHeight="1" x14ac:dyDescent="0.25">
      <c r="A685" s="828"/>
      <c r="B685" s="822"/>
      <c r="C685" s="822"/>
      <c r="D685" s="578" t="s">
        <v>352</v>
      </c>
      <c r="E685" s="582"/>
      <c r="F685" s="582"/>
      <c r="G685" s="582"/>
      <c r="H685" s="582"/>
      <c r="I685" s="580"/>
      <c r="J685" s="580"/>
      <c r="K685" s="580"/>
      <c r="L685" s="580"/>
      <c r="M685" s="580"/>
      <c r="N685" s="580"/>
      <c r="O685" s="580"/>
      <c r="P685" s="580"/>
      <c r="Q685" s="580"/>
      <c r="R685" s="580"/>
      <c r="S685" s="580"/>
      <c r="T685" s="580"/>
      <c r="U685" s="580"/>
      <c r="V685" s="580"/>
      <c r="W685" s="580"/>
      <c r="X685" s="581"/>
      <c r="Y685" s="580"/>
      <c r="Z685" s="581"/>
      <c r="AA685" s="581"/>
      <c r="AB685" s="580"/>
      <c r="AC685" s="580"/>
      <c r="AD685" s="580"/>
      <c r="AE685" s="580"/>
      <c r="AF685" s="822"/>
      <c r="AG685" s="822"/>
      <c r="AH685" s="822"/>
      <c r="AI685" s="822"/>
      <c r="AJ685" s="822"/>
      <c r="AK685" s="806"/>
      <c r="AL685" s="806"/>
      <c r="AM685" s="806"/>
      <c r="AN685" s="806"/>
      <c r="AO685" s="806"/>
      <c r="AP685" s="806"/>
      <c r="AQ685" s="806"/>
      <c r="AR685" s="806"/>
      <c r="AS685" s="806"/>
      <c r="AT685" s="806"/>
      <c r="AU685" s="806"/>
      <c r="AV685" s="806"/>
      <c r="AW685" s="806"/>
      <c r="AX685" s="806"/>
      <c r="AY685" s="600"/>
    </row>
    <row r="686" spans="1:51" ht="28.9" customHeight="1" x14ac:dyDescent="0.25">
      <c r="A686" s="828"/>
      <c r="B686" s="822"/>
      <c r="C686" s="822"/>
      <c r="D686" s="579" t="s">
        <v>353</v>
      </c>
      <c r="E686" s="582"/>
      <c r="F686" s="582"/>
      <c r="G686" s="582"/>
      <c r="H686" s="582"/>
      <c r="I686" s="580"/>
      <c r="J686" s="580"/>
      <c r="K686" s="580"/>
      <c r="L686" s="580"/>
      <c r="M686" s="580"/>
      <c r="N686" s="580"/>
      <c r="O686" s="580"/>
      <c r="P686" s="580"/>
      <c r="Q686" s="580"/>
      <c r="R686" s="580"/>
      <c r="S686" s="580"/>
      <c r="T686" s="580"/>
      <c r="U686" s="580"/>
      <c r="V686" s="580"/>
      <c r="W686" s="580"/>
      <c r="X686" s="581"/>
      <c r="Y686" s="580"/>
      <c r="Z686" s="581"/>
      <c r="AA686" s="581"/>
      <c r="AB686" s="580"/>
      <c r="AC686" s="580"/>
      <c r="AD686" s="580"/>
      <c r="AE686" s="580"/>
      <c r="AF686" s="822"/>
      <c r="AG686" s="822"/>
      <c r="AH686" s="822"/>
      <c r="AI686" s="822"/>
      <c r="AJ686" s="822"/>
      <c r="AK686" s="806"/>
      <c r="AL686" s="806"/>
      <c r="AM686" s="806"/>
      <c r="AN686" s="806"/>
      <c r="AO686" s="806"/>
      <c r="AP686" s="806"/>
      <c r="AQ686" s="806"/>
      <c r="AR686" s="806"/>
      <c r="AS686" s="806"/>
      <c r="AT686" s="806"/>
      <c r="AU686" s="806"/>
      <c r="AV686" s="806"/>
      <c r="AW686" s="806"/>
      <c r="AX686" s="806"/>
      <c r="AY686" s="600"/>
    </row>
    <row r="687" spans="1:51" ht="28.9" customHeight="1" thickBot="1" x14ac:dyDescent="0.3">
      <c r="A687" s="829"/>
      <c r="B687" s="832"/>
      <c r="C687" s="823"/>
      <c r="D687" s="578" t="s">
        <v>354</v>
      </c>
      <c r="E687" s="582"/>
      <c r="F687" s="582"/>
      <c r="G687" s="582"/>
      <c r="H687" s="582"/>
      <c r="I687" s="580"/>
      <c r="J687" s="580"/>
      <c r="K687" s="580"/>
      <c r="L687" s="580"/>
      <c r="M687" s="580"/>
      <c r="N687" s="580"/>
      <c r="O687" s="580"/>
      <c r="P687" s="580"/>
      <c r="Q687" s="580"/>
      <c r="R687" s="580"/>
      <c r="S687" s="580"/>
      <c r="T687" s="580"/>
      <c r="U687" s="580"/>
      <c r="V687" s="580"/>
      <c r="W687" s="580"/>
      <c r="X687" s="581"/>
      <c r="Y687" s="580"/>
      <c r="Z687" s="581"/>
      <c r="AA687" s="581"/>
      <c r="AB687" s="580"/>
      <c r="AC687" s="580"/>
      <c r="AD687" s="580"/>
      <c r="AE687" s="580"/>
      <c r="AF687" s="823"/>
      <c r="AG687" s="823"/>
      <c r="AH687" s="823"/>
      <c r="AI687" s="823"/>
      <c r="AJ687" s="823"/>
      <c r="AK687" s="807"/>
      <c r="AL687" s="807"/>
      <c r="AM687" s="807"/>
      <c r="AN687" s="807"/>
      <c r="AO687" s="807"/>
      <c r="AP687" s="807"/>
      <c r="AQ687" s="807"/>
      <c r="AR687" s="807"/>
      <c r="AS687" s="807"/>
      <c r="AT687" s="807"/>
      <c r="AU687" s="807"/>
      <c r="AV687" s="807"/>
      <c r="AW687" s="807"/>
      <c r="AX687" s="807"/>
      <c r="AY687" s="600"/>
    </row>
    <row r="688" spans="1:51" ht="19.149999999999999" customHeight="1" x14ac:dyDescent="0.25">
      <c r="A688" s="827">
        <v>10</v>
      </c>
      <c r="B688" s="830" t="s">
        <v>381</v>
      </c>
      <c r="C688" s="821" t="s">
        <v>915</v>
      </c>
      <c r="D688" s="572" t="s">
        <v>345</v>
      </c>
      <c r="E688" s="582">
        <v>35.099999999999994</v>
      </c>
      <c r="F688" s="582">
        <v>35.099999999999994</v>
      </c>
      <c r="G688" s="582">
        <v>35.099999999999994</v>
      </c>
      <c r="H688" s="582">
        <v>35</v>
      </c>
      <c r="I688" s="580">
        <v>35</v>
      </c>
      <c r="J688" s="580">
        <v>35</v>
      </c>
      <c r="K688" s="580">
        <v>35</v>
      </c>
      <c r="L688" s="580">
        <v>35</v>
      </c>
      <c r="M688" s="580">
        <v>35</v>
      </c>
      <c r="N688" s="580">
        <v>35</v>
      </c>
      <c r="O688" s="580">
        <v>35</v>
      </c>
      <c r="P688" s="580">
        <v>35</v>
      </c>
      <c r="Q688" s="580">
        <v>35</v>
      </c>
      <c r="R688" s="580">
        <v>35</v>
      </c>
      <c r="S688" s="580"/>
      <c r="T688" s="593">
        <v>2.2000000000000002</v>
      </c>
      <c r="U688" s="593">
        <v>5.2</v>
      </c>
      <c r="V688" s="593">
        <v>8.1999999999999993</v>
      </c>
      <c r="W688" s="593">
        <v>11.2</v>
      </c>
      <c r="X688" s="593">
        <v>14.2</v>
      </c>
      <c r="Y688" s="593">
        <v>17.2</v>
      </c>
      <c r="Z688" s="593">
        <v>20.2</v>
      </c>
      <c r="AA688" s="593">
        <v>23.2</v>
      </c>
      <c r="AB688" s="610">
        <v>26.2</v>
      </c>
      <c r="AC688" s="576">
        <v>29.2</v>
      </c>
      <c r="AD688" s="580">
        <v>32.200000000000003</v>
      </c>
      <c r="AE688" s="580">
        <v>35</v>
      </c>
      <c r="AF688" s="831" t="s">
        <v>916</v>
      </c>
      <c r="AG688" s="821" t="s">
        <v>489</v>
      </c>
      <c r="AH688" s="824" t="s">
        <v>178</v>
      </c>
      <c r="AI688" s="824" t="s">
        <v>178</v>
      </c>
      <c r="AJ688" s="824" t="s">
        <v>178</v>
      </c>
      <c r="AK688" s="825" t="s">
        <v>490</v>
      </c>
      <c r="AL688" s="826"/>
      <c r="AM688" s="826" t="s">
        <v>914</v>
      </c>
      <c r="AN688" s="820">
        <v>7968095</v>
      </c>
      <c r="AO688" s="820">
        <v>3815676</v>
      </c>
      <c r="AP688" s="820">
        <v>4152419</v>
      </c>
      <c r="AQ688" s="805" t="s">
        <v>492</v>
      </c>
      <c r="AR688" s="805" t="s">
        <v>492</v>
      </c>
      <c r="AS688" s="805" t="s">
        <v>492</v>
      </c>
      <c r="AT688" s="805" t="s">
        <v>492</v>
      </c>
      <c r="AU688" s="805" t="s">
        <v>492</v>
      </c>
      <c r="AV688" s="805" t="s">
        <v>492</v>
      </c>
      <c r="AW688" s="805" t="s">
        <v>492</v>
      </c>
      <c r="AX688" s="808">
        <v>7804660</v>
      </c>
      <c r="AY688" s="600"/>
    </row>
    <row r="689" spans="1:51" ht="19.149999999999999" customHeight="1" x14ac:dyDescent="0.25">
      <c r="A689" s="828"/>
      <c r="B689" s="822"/>
      <c r="C689" s="822"/>
      <c r="D689" s="578" t="s">
        <v>349</v>
      </c>
      <c r="E689" s="582">
        <v>783421000</v>
      </c>
      <c r="F689" s="582">
        <v>783421000</v>
      </c>
      <c r="G689" s="582">
        <v>783421000</v>
      </c>
      <c r="H689" s="582">
        <v>783421000</v>
      </c>
      <c r="I689" s="580">
        <v>783421000</v>
      </c>
      <c r="J689" s="580">
        <v>783421000</v>
      </c>
      <c r="K689" s="580">
        <v>783421000</v>
      </c>
      <c r="L689" s="580">
        <v>783421000</v>
      </c>
      <c r="M689" s="580">
        <v>783421000</v>
      </c>
      <c r="N689" s="580">
        <v>783421000</v>
      </c>
      <c r="O689" s="580">
        <v>783421000</v>
      </c>
      <c r="P689" s="580">
        <v>780040767</v>
      </c>
      <c r="Q689" s="580">
        <v>700240767</v>
      </c>
      <c r="R689" s="580">
        <v>700240767</v>
      </c>
      <c r="S689" s="580"/>
      <c r="T689" s="593">
        <v>0</v>
      </c>
      <c r="U689" s="593">
        <v>499726000</v>
      </c>
      <c r="V689" s="593">
        <v>608408526</v>
      </c>
      <c r="W689" s="593">
        <v>624683136</v>
      </c>
      <c r="X689" s="574">
        <v>650548746</v>
      </c>
      <c r="Y689" s="593">
        <v>651865212</v>
      </c>
      <c r="Z689" s="593">
        <v>653181300</v>
      </c>
      <c r="AA689" s="593">
        <v>654632388</v>
      </c>
      <c r="AB689" s="610">
        <v>664948476</v>
      </c>
      <c r="AC689" s="576">
        <v>665683000</v>
      </c>
      <c r="AD689" s="580">
        <v>665683000</v>
      </c>
      <c r="AE689" s="580">
        <v>700227000</v>
      </c>
      <c r="AF689" s="822"/>
      <c r="AG689" s="822"/>
      <c r="AH689" s="822"/>
      <c r="AI689" s="822"/>
      <c r="AJ689" s="822"/>
      <c r="AK689" s="806"/>
      <c r="AL689" s="806"/>
      <c r="AM689" s="806"/>
      <c r="AN689" s="806"/>
      <c r="AO689" s="806"/>
      <c r="AP689" s="806"/>
      <c r="AQ689" s="806"/>
      <c r="AR689" s="806"/>
      <c r="AS689" s="806"/>
      <c r="AT689" s="806"/>
      <c r="AU689" s="806"/>
      <c r="AV689" s="806"/>
      <c r="AW689" s="806"/>
      <c r="AX689" s="806"/>
      <c r="AY689" s="600"/>
    </row>
    <row r="690" spans="1:51" ht="28.9" customHeight="1" x14ac:dyDescent="0.25">
      <c r="A690" s="828"/>
      <c r="B690" s="822"/>
      <c r="C690" s="822"/>
      <c r="D690" s="579" t="s">
        <v>351</v>
      </c>
      <c r="E690" s="582"/>
      <c r="F690" s="582"/>
      <c r="G690" s="582"/>
      <c r="H690" s="582"/>
      <c r="I690" s="580"/>
      <c r="J690" s="580"/>
      <c r="K690" s="580"/>
      <c r="L690" s="580"/>
      <c r="M690" s="580"/>
      <c r="N690" s="580"/>
      <c r="O690" s="580"/>
      <c r="P690" s="580"/>
      <c r="Q690" s="580"/>
      <c r="R690" s="580"/>
      <c r="S690" s="580"/>
      <c r="T690" s="593"/>
      <c r="U690" s="593"/>
      <c r="V690" s="593"/>
      <c r="W690" s="593"/>
      <c r="X690" s="574"/>
      <c r="Y690" s="574"/>
      <c r="Z690" s="593"/>
      <c r="AA690" s="593"/>
      <c r="AB690" s="610"/>
      <c r="AC690" s="576"/>
      <c r="AD690" s="576"/>
      <c r="AE690" s="580"/>
      <c r="AF690" s="822"/>
      <c r="AG690" s="822"/>
      <c r="AH690" s="822"/>
      <c r="AI690" s="822"/>
      <c r="AJ690" s="822"/>
      <c r="AK690" s="806"/>
      <c r="AL690" s="806"/>
      <c r="AM690" s="806"/>
      <c r="AN690" s="806"/>
      <c r="AO690" s="806"/>
      <c r="AP690" s="806"/>
      <c r="AQ690" s="806"/>
      <c r="AR690" s="806"/>
      <c r="AS690" s="806"/>
      <c r="AT690" s="806"/>
      <c r="AU690" s="806"/>
      <c r="AV690" s="806"/>
      <c r="AW690" s="806"/>
      <c r="AX690" s="806"/>
      <c r="AY690" s="600"/>
    </row>
    <row r="691" spans="1:51" ht="28.9" customHeight="1" x14ac:dyDescent="0.25">
      <c r="A691" s="828"/>
      <c r="B691" s="822"/>
      <c r="C691" s="822"/>
      <c r="D691" s="578" t="s">
        <v>352</v>
      </c>
      <c r="E691" s="582">
        <v>264795864</v>
      </c>
      <c r="F691" s="582">
        <v>264795864</v>
      </c>
      <c r="G691" s="582">
        <v>264795864</v>
      </c>
      <c r="H691" s="582">
        <v>264795865</v>
      </c>
      <c r="I691" s="580">
        <v>264795865</v>
      </c>
      <c r="J691" s="580">
        <v>264795865</v>
      </c>
      <c r="K691" s="580">
        <v>264795864</v>
      </c>
      <c r="L691" s="580">
        <v>263049364</v>
      </c>
      <c r="M691" s="580">
        <v>263049364</v>
      </c>
      <c r="N691" s="580">
        <v>263049364</v>
      </c>
      <c r="O691" s="580">
        <v>263049364</v>
      </c>
      <c r="P691" s="610">
        <v>263049364</v>
      </c>
      <c r="Q691" s="610">
        <v>263049364</v>
      </c>
      <c r="R691" s="610">
        <v>263032302</v>
      </c>
      <c r="S691" s="610"/>
      <c r="T691" s="593">
        <v>15209900</v>
      </c>
      <c r="U691" s="593">
        <v>48029678</v>
      </c>
      <c r="V691" s="593">
        <v>70042272</v>
      </c>
      <c r="W691" s="593">
        <v>110769607.24000001</v>
      </c>
      <c r="X691" s="580">
        <v>200462840.24000001</v>
      </c>
      <c r="Y691" s="574">
        <v>259794577.24000001</v>
      </c>
      <c r="Z691" s="593">
        <v>259794577.24000001</v>
      </c>
      <c r="AA691" s="593">
        <v>262946881.24000001</v>
      </c>
      <c r="AB691" s="593">
        <v>262946881.24000001</v>
      </c>
      <c r="AC691" s="610">
        <v>263032302.24000001</v>
      </c>
      <c r="AD691" s="610">
        <v>263032302.24000001</v>
      </c>
      <c r="AE691" s="610">
        <v>263032302.24000001</v>
      </c>
      <c r="AF691" s="822"/>
      <c r="AG691" s="822"/>
      <c r="AH691" s="822"/>
      <c r="AI691" s="822"/>
      <c r="AJ691" s="822"/>
      <c r="AK691" s="806"/>
      <c r="AL691" s="806"/>
      <c r="AM691" s="806"/>
      <c r="AN691" s="806"/>
      <c r="AO691" s="806"/>
      <c r="AP691" s="806"/>
      <c r="AQ691" s="806"/>
      <c r="AR691" s="806"/>
      <c r="AS691" s="806"/>
      <c r="AT691" s="806"/>
      <c r="AU691" s="806"/>
      <c r="AV691" s="806"/>
      <c r="AW691" s="806"/>
      <c r="AX691" s="806"/>
      <c r="AY691" s="600"/>
    </row>
    <row r="692" spans="1:51" ht="28.9" customHeight="1" x14ac:dyDescent="0.25">
      <c r="A692" s="828"/>
      <c r="B692" s="822"/>
      <c r="C692" s="822"/>
      <c r="D692" s="579" t="s">
        <v>353</v>
      </c>
      <c r="E692" s="582">
        <v>35.099999999999994</v>
      </c>
      <c r="F692" s="582">
        <v>35.099999999999994</v>
      </c>
      <c r="G692" s="582">
        <v>35.099999999999994</v>
      </c>
      <c r="H692" s="582">
        <v>35</v>
      </c>
      <c r="I692" s="582">
        <v>35</v>
      </c>
      <c r="J692" s="582">
        <v>35</v>
      </c>
      <c r="K692" s="582">
        <v>35</v>
      </c>
      <c r="L692" s="582">
        <v>35</v>
      </c>
      <c r="M692" s="580">
        <v>35</v>
      </c>
      <c r="N692" s="582">
        <v>35</v>
      </c>
      <c r="O692" s="582">
        <v>35</v>
      </c>
      <c r="P692" s="580">
        <v>35</v>
      </c>
      <c r="Q692" s="580">
        <v>35</v>
      </c>
      <c r="R692" s="580">
        <v>35</v>
      </c>
      <c r="S692" s="580"/>
      <c r="T692" s="593">
        <v>2.2000000000000002</v>
      </c>
      <c r="U692" s="593">
        <v>5.2</v>
      </c>
      <c r="V692" s="593">
        <v>8.1999999999999993</v>
      </c>
      <c r="W692" s="593">
        <v>11.2</v>
      </c>
      <c r="X692" s="580">
        <v>14.2</v>
      </c>
      <c r="Y692" s="580">
        <v>17.2</v>
      </c>
      <c r="Z692" s="593">
        <v>20.2</v>
      </c>
      <c r="AA692" s="593">
        <v>23.2</v>
      </c>
      <c r="AB692" s="593">
        <f>+AB688</f>
        <v>26.2</v>
      </c>
      <c r="AC692" s="576">
        <v>29.2</v>
      </c>
      <c r="AD692" s="576">
        <v>32.200000000000003</v>
      </c>
      <c r="AE692" s="580">
        <v>35</v>
      </c>
      <c r="AF692" s="822"/>
      <c r="AG692" s="822"/>
      <c r="AH692" s="822"/>
      <c r="AI692" s="822"/>
      <c r="AJ692" s="822"/>
      <c r="AK692" s="806"/>
      <c r="AL692" s="806"/>
      <c r="AM692" s="806"/>
      <c r="AN692" s="806"/>
      <c r="AO692" s="806"/>
      <c r="AP692" s="806"/>
      <c r="AQ692" s="806"/>
      <c r="AR692" s="806"/>
      <c r="AS692" s="806"/>
      <c r="AT692" s="806"/>
      <c r="AU692" s="806"/>
      <c r="AV692" s="806"/>
      <c r="AW692" s="806"/>
      <c r="AX692" s="806"/>
      <c r="AY692" s="600"/>
    </row>
    <row r="693" spans="1:51" ht="28.9" customHeight="1" x14ac:dyDescent="0.25">
      <c r="A693" s="828"/>
      <c r="B693" s="822"/>
      <c r="C693" s="823"/>
      <c r="D693" s="578" t="s">
        <v>354</v>
      </c>
      <c r="E693" s="573">
        <v>1048216864</v>
      </c>
      <c r="F693" s="573">
        <v>1048216864</v>
      </c>
      <c r="G693" s="573">
        <v>1048216864</v>
      </c>
      <c r="H693" s="582">
        <v>1048216864</v>
      </c>
      <c r="I693" s="582">
        <v>1048216864</v>
      </c>
      <c r="J693" s="582">
        <v>1048216865</v>
      </c>
      <c r="K693" s="582">
        <v>1048216864</v>
      </c>
      <c r="L693" s="582">
        <v>1046470364</v>
      </c>
      <c r="M693" s="580">
        <v>1046470364</v>
      </c>
      <c r="N693" s="582">
        <v>1046470364</v>
      </c>
      <c r="O693" s="582">
        <v>1046470364</v>
      </c>
      <c r="P693" s="580">
        <f t="shared" ref="P693:R693" si="202">+P689+P691</f>
        <v>1043090131</v>
      </c>
      <c r="Q693" s="580">
        <f t="shared" si="202"/>
        <v>963290131</v>
      </c>
      <c r="R693" s="580">
        <f t="shared" si="202"/>
        <v>963273069</v>
      </c>
      <c r="S693" s="580"/>
      <c r="T693" s="574">
        <v>15209900</v>
      </c>
      <c r="U693" s="593">
        <v>547755678</v>
      </c>
      <c r="V693" s="593">
        <v>678450798</v>
      </c>
      <c r="W693" s="593">
        <v>735452743.24000001</v>
      </c>
      <c r="X693" s="593">
        <v>851011586.24000001</v>
      </c>
      <c r="Y693" s="593">
        <v>911659789.24000001</v>
      </c>
      <c r="Z693" s="593">
        <f t="shared" ref="Z693:AE693" si="203">+Z689+Z691</f>
        <v>912975877.24000001</v>
      </c>
      <c r="AA693" s="593">
        <f t="shared" si="203"/>
        <v>917579269.24000001</v>
      </c>
      <c r="AB693" s="593">
        <f t="shared" si="203"/>
        <v>927895357.24000001</v>
      </c>
      <c r="AC693" s="593">
        <f t="shared" si="203"/>
        <v>928715302.24000001</v>
      </c>
      <c r="AD693" s="593">
        <f t="shared" si="203"/>
        <v>928715302.24000001</v>
      </c>
      <c r="AE693" s="580">
        <f t="shared" si="203"/>
        <v>963259302.24000001</v>
      </c>
      <c r="AF693" s="822"/>
      <c r="AG693" s="823"/>
      <c r="AH693" s="823"/>
      <c r="AI693" s="823"/>
      <c r="AJ693" s="823"/>
      <c r="AK693" s="807"/>
      <c r="AL693" s="807"/>
      <c r="AM693" s="807"/>
      <c r="AN693" s="807"/>
      <c r="AO693" s="807"/>
      <c r="AP693" s="807"/>
      <c r="AQ693" s="807"/>
      <c r="AR693" s="807"/>
      <c r="AS693" s="807"/>
      <c r="AT693" s="807"/>
      <c r="AU693" s="807"/>
      <c r="AV693" s="807"/>
      <c r="AW693" s="807"/>
      <c r="AX693" s="807"/>
      <c r="AY693" s="600"/>
    </row>
    <row r="694" spans="1:51" ht="19.149999999999999" customHeight="1" x14ac:dyDescent="0.25">
      <c r="A694" s="828"/>
      <c r="B694" s="822"/>
      <c r="C694" s="821" t="s">
        <v>599</v>
      </c>
      <c r="D694" s="572" t="s">
        <v>345</v>
      </c>
      <c r="E694" s="582">
        <v>35.099999999999994</v>
      </c>
      <c r="F694" s="582">
        <v>35.099999999999994</v>
      </c>
      <c r="G694" s="582">
        <v>35.099999999999994</v>
      </c>
      <c r="H694" s="582">
        <v>35</v>
      </c>
      <c r="I694" s="582">
        <v>35</v>
      </c>
      <c r="J694" s="582">
        <v>35</v>
      </c>
      <c r="K694" s="582">
        <v>35</v>
      </c>
      <c r="L694" s="582">
        <v>35</v>
      </c>
      <c r="M694" s="580">
        <f t="shared" ref="M694:R699" si="204">+M688</f>
        <v>35</v>
      </c>
      <c r="N694" s="582">
        <f t="shared" si="204"/>
        <v>35</v>
      </c>
      <c r="O694" s="582">
        <f t="shared" si="204"/>
        <v>35</v>
      </c>
      <c r="P694" s="580">
        <f t="shared" si="204"/>
        <v>35</v>
      </c>
      <c r="Q694" s="580">
        <f t="shared" si="204"/>
        <v>35</v>
      </c>
      <c r="R694" s="580">
        <f t="shared" si="204"/>
        <v>35</v>
      </c>
      <c r="S694" s="580"/>
      <c r="T694" s="580">
        <v>2.2000000000000002</v>
      </c>
      <c r="U694" s="580">
        <v>5.2</v>
      </c>
      <c r="V694" s="593">
        <v>8.1999999999999993</v>
      </c>
      <c r="W694" s="580">
        <v>11.2</v>
      </c>
      <c r="X694" s="580">
        <v>14.2</v>
      </c>
      <c r="Y694" s="580">
        <v>17.2</v>
      </c>
      <c r="Z694" s="580">
        <f t="shared" ref="Z694:AE699" si="205">+Z688</f>
        <v>20.2</v>
      </c>
      <c r="AA694" s="593">
        <f t="shared" si="205"/>
        <v>23.2</v>
      </c>
      <c r="AB694" s="593">
        <f t="shared" si="205"/>
        <v>26.2</v>
      </c>
      <c r="AC694" s="593">
        <f t="shared" si="205"/>
        <v>29.2</v>
      </c>
      <c r="AD694" s="593">
        <f t="shared" si="205"/>
        <v>32.200000000000003</v>
      </c>
      <c r="AE694" s="580">
        <f t="shared" si="205"/>
        <v>35</v>
      </c>
      <c r="AF694" s="822"/>
      <c r="AG694" s="821" t="s">
        <v>489</v>
      </c>
      <c r="AH694" s="824" t="s">
        <v>178</v>
      </c>
      <c r="AI694" s="824" t="s">
        <v>178</v>
      </c>
      <c r="AJ694" s="824" t="s">
        <v>178</v>
      </c>
      <c r="AK694" s="825" t="s">
        <v>490</v>
      </c>
      <c r="AL694" s="826"/>
      <c r="AM694" s="826" t="s">
        <v>914</v>
      </c>
      <c r="AN694" s="820">
        <v>7968095</v>
      </c>
      <c r="AO694" s="820">
        <v>3815676</v>
      </c>
      <c r="AP694" s="820">
        <v>4152419</v>
      </c>
      <c r="AQ694" s="805" t="s">
        <v>492</v>
      </c>
      <c r="AR694" s="805" t="s">
        <v>492</v>
      </c>
      <c r="AS694" s="805" t="s">
        <v>492</v>
      </c>
      <c r="AT694" s="805" t="s">
        <v>492</v>
      </c>
      <c r="AU694" s="805" t="s">
        <v>492</v>
      </c>
      <c r="AV694" s="805" t="s">
        <v>492</v>
      </c>
      <c r="AW694" s="805" t="s">
        <v>492</v>
      </c>
      <c r="AX694" s="808">
        <v>7804660</v>
      </c>
      <c r="AY694" s="600"/>
    </row>
    <row r="695" spans="1:51" ht="19.149999999999999" customHeight="1" x14ac:dyDescent="0.25">
      <c r="A695" s="828"/>
      <c r="B695" s="822"/>
      <c r="C695" s="822"/>
      <c r="D695" s="578" t="s">
        <v>349</v>
      </c>
      <c r="E695" s="582">
        <v>783421000</v>
      </c>
      <c r="F695" s="582">
        <v>783421000</v>
      </c>
      <c r="G695" s="582">
        <v>783421000</v>
      </c>
      <c r="H695" s="582">
        <v>783421000</v>
      </c>
      <c r="I695" s="582">
        <v>783421000</v>
      </c>
      <c r="J695" s="582">
        <v>783421000</v>
      </c>
      <c r="K695" s="582">
        <v>783421000</v>
      </c>
      <c r="L695" s="582">
        <v>783421000</v>
      </c>
      <c r="M695" s="580">
        <f t="shared" si="204"/>
        <v>783421000</v>
      </c>
      <c r="N695" s="582">
        <f t="shared" si="204"/>
        <v>783421000</v>
      </c>
      <c r="O695" s="582">
        <f t="shared" si="204"/>
        <v>783421000</v>
      </c>
      <c r="P695" s="580">
        <f t="shared" si="204"/>
        <v>780040767</v>
      </c>
      <c r="Q695" s="580">
        <f t="shared" si="204"/>
        <v>700240767</v>
      </c>
      <c r="R695" s="580">
        <f t="shared" si="204"/>
        <v>700240767</v>
      </c>
      <c r="S695" s="580"/>
      <c r="T695" s="580">
        <v>0</v>
      </c>
      <c r="U695" s="580">
        <v>499726000</v>
      </c>
      <c r="V695" s="593">
        <v>608408526</v>
      </c>
      <c r="W695" s="580">
        <v>624683136</v>
      </c>
      <c r="X695" s="580">
        <v>650548746</v>
      </c>
      <c r="Y695" s="580">
        <v>651865212</v>
      </c>
      <c r="Z695" s="580">
        <f t="shared" si="205"/>
        <v>653181300</v>
      </c>
      <c r="AA695" s="593">
        <f t="shared" si="205"/>
        <v>654632388</v>
      </c>
      <c r="AB695" s="593">
        <f t="shared" si="205"/>
        <v>664948476</v>
      </c>
      <c r="AC695" s="593">
        <f t="shared" si="205"/>
        <v>665683000</v>
      </c>
      <c r="AD695" s="593">
        <f t="shared" si="205"/>
        <v>665683000</v>
      </c>
      <c r="AE695" s="580">
        <f t="shared" si="205"/>
        <v>700227000</v>
      </c>
      <c r="AF695" s="822"/>
      <c r="AG695" s="822"/>
      <c r="AH695" s="822"/>
      <c r="AI695" s="822"/>
      <c r="AJ695" s="822"/>
      <c r="AK695" s="806"/>
      <c r="AL695" s="806"/>
      <c r="AM695" s="806"/>
      <c r="AN695" s="806"/>
      <c r="AO695" s="806"/>
      <c r="AP695" s="806"/>
      <c r="AQ695" s="806"/>
      <c r="AR695" s="806"/>
      <c r="AS695" s="806"/>
      <c r="AT695" s="806"/>
      <c r="AU695" s="806"/>
      <c r="AV695" s="806"/>
      <c r="AW695" s="806"/>
      <c r="AX695" s="806"/>
      <c r="AY695" s="600"/>
    </row>
    <row r="696" spans="1:51" ht="28.9" customHeight="1" x14ac:dyDescent="0.25">
      <c r="A696" s="828"/>
      <c r="B696" s="822"/>
      <c r="C696" s="822"/>
      <c r="D696" s="579" t="s">
        <v>351</v>
      </c>
      <c r="E696" s="582">
        <v>0</v>
      </c>
      <c r="F696" s="582">
        <v>0</v>
      </c>
      <c r="G696" s="582">
        <v>0</v>
      </c>
      <c r="H696" s="582">
        <v>0</v>
      </c>
      <c r="I696" s="582">
        <v>0</v>
      </c>
      <c r="J696" s="582">
        <v>0</v>
      </c>
      <c r="K696" s="582">
        <v>0</v>
      </c>
      <c r="L696" s="582">
        <v>0</v>
      </c>
      <c r="M696" s="580">
        <f t="shared" si="204"/>
        <v>0</v>
      </c>
      <c r="N696" s="582">
        <f t="shared" si="204"/>
        <v>0</v>
      </c>
      <c r="O696" s="582">
        <f t="shared" si="204"/>
        <v>0</v>
      </c>
      <c r="P696" s="580">
        <f t="shared" si="204"/>
        <v>0</v>
      </c>
      <c r="Q696" s="580">
        <f t="shared" si="204"/>
        <v>0</v>
      </c>
      <c r="R696" s="580">
        <f t="shared" si="204"/>
        <v>0</v>
      </c>
      <c r="S696" s="580"/>
      <c r="T696" s="580">
        <v>0</v>
      </c>
      <c r="U696" s="580">
        <v>0</v>
      </c>
      <c r="V696" s="593">
        <v>0</v>
      </c>
      <c r="W696" s="580">
        <v>0</v>
      </c>
      <c r="X696" s="580">
        <v>0</v>
      </c>
      <c r="Y696" s="580">
        <v>0</v>
      </c>
      <c r="Z696" s="580">
        <f t="shared" si="205"/>
        <v>0</v>
      </c>
      <c r="AA696" s="593">
        <f t="shared" si="205"/>
        <v>0</v>
      </c>
      <c r="AB696" s="593">
        <f t="shared" si="205"/>
        <v>0</v>
      </c>
      <c r="AC696" s="593">
        <f t="shared" si="205"/>
        <v>0</v>
      </c>
      <c r="AD696" s="593">
        <f t="shared" si="205"/>
        <v>0</v>
      </c>
      <c r="AE696" s="580">
        <f t="shared" si="205"/>
        <v>0</v>
      </c>
      <c r="AF696" s="822"/>
      <c r="AG696" s="822"/>
      <c r="AH696" s="822"/>
      <c r="AI696" s="822"/>
      <c r="AJ696" s="822"/>
      <c r="AK696" s="806"/>
      <c r="AL696" s="806"/>
      <c r="AM696" s="806"/>
      <c r="AN696" s="806"/>
      <c r="AO696" s="806"/>
      <c r="AP696" s="806"/>
      <c r="AQ696" s="806"/>
      <c r="AR696" s="806"/>
      <c r="AS696" s="806"/>
      <c r="AT696" s="806"/>
      <c r="AU696" s="806"/>
      <c r="AV696" s="806"/>
      <c r="AW696" s="806"/>
      <c r="AX696" s="806"/>
      <c r="AY696" s="600"/>
    </row>
    <row r="697" spans="1:51" ht="28.9" customHeight="1" x14ac:dyDescent="0.25">
      <c r="A697" s="828"/>
      <c r="B697" s="822"/>
      <c r="C697" s="822"/>
      <c r="D697" s="578" t="s">
        <v>352</v>
      </c>
      <c r="E697" s="582">
        <v>264795864</v>
      </c>
      <c r="F697" s="582">
        <v>264795864</v>
      </c>
      <c r="G697" s="582">
        <v>264795864</v>
      </c>
      <c r="H697" s="582">
        <v>264795865</v>
      </c>
      <c r="I697" s="582">
        <v>264795865</v>
      </c>
      <c r="J697" s="582">
        <v>264795865</v>
      </c>
      <c r="K697" s="582">
        <v>264795864</v>
      </c>
      <c r="L697" s="582">
        <v>263049364</v>
      </c>
      <c r="M697" s="580">
        <f t="shared" si="204"/>
        <v>263049364</v>
      </c>
      <c r="N697" s="582">
        <f t="shared" si="204"/>
        <v>263049364</v>
      </c>
      <c r="O697" s="582">
        <f t="shared" si="204"/>
        <v>263049364</v>
      </c>
      <c r="P697" s="580">
        <f t="shared" si="204"/>
        <v>263049364</v>
      </c>
      <c r="Q697" s="580">
        <f t="shared" si="204"/>
        <v>263049364</v>
      </c>
      <c r="R697" s="580">
        <f t="shared" si="204"/>
        <v>263032302</v>
      </c>
      <c r="S697" s="580"/>
      <c r="T697" s="580">
        <v>15209900</v>
      </c>
      <c r="U697" s="580">
        <v>48029678</v>
      </c>
      <c r="V697" s="593">
        <v>70042272</v>
      </c>
      <c r="W697" s="580">
        <v>110769607.24000001</v>
      </c>
      <c r="X697" s="580">
        <v>200462840.24000001</v>
      </c>
      <c r="Y697" s="580">
        <v>259794577.24000001</v>
      </c>
      <c r="Z697" s="580">
        <f t="shared" si="205"/>
        <v>259794577.24000001</v>
      </c>
      <c r="AA697" s="593">
        <f t="shared" si="205"/>
        <v>262946881.24000001</v>
      </c>
      <c r="AB697" s="593">
        <f t="shared" si="205"/>
        <v>262946881.24000001</v>
      </c>
      <c r="AC697" s="593">
        <f t="shared" si="205"/>
        <v>263032302.24000001</v>
      </c>
      <c r="AD697" s="593">
        <f t="shared" si="205"/>
        <v>263032302.24000001</v>
      </c>
      <c r="AE697" s="580">
        <f t="shared" si="205"/>
        <v>263032302.24000001</v>
      </c>
      <c r="AF697" s="822"/>
      <c r="AG697" s="822"/>
      <c r="AH697" s="822"/>
      <c r="AI697" s="822"/>
      <c r="AJ697" s="822"/>
      <c r="AK697" s="806"/>
      <c r="AL697" s="806"/>
      <c r="AM697" s="806"/>
      <c r="AN697" s="806"/>
      <c r="AO697" s="806"/>
      <c r="AP697" s="806"/>
      <c r="AQ697" s="806"/>
      <c r="AR697" s="806"/>
      <c r="AS697" s="806"/>
      <c r="AT697" s="806"/>
      <c r="AU697" s="806"/>
      <c r="AV697" s="806"/>
      <c r="AW697" s="806"/>
      <c r="AX697" s="806"/>
      <c r="AY697" s="600"/>
    </row>
    <row r="698" spans="1:51" ht="28.9" customHeight="1" x14ac:dyDescent="0.25">
      <c r="A698" s="828"/>
      <c r="B698" s="822"/>
      <c r="C698" s="822"/>
      <c r="D698" s="579" t="s">
        <v>353</v>
      </c>
      <c r="E698" s="582">
        <v>35.099999999999994</v>
      </c>
      <c r="F698" s="582">
        <v>35.099999999999994</v>
      </c>
      <c r="G698" s="582">
        <v>35.099999999999994</v>
      </c>
      <c r="H698" s="582">
        <v>35</v>
      </c>
      <c r="I698" s="582">
        <v>35</v>
      </c>
      <c r="J698" s="582">
        <v>35</v>
      </c>
      <c r="K698" s="582">
        <v>35</v>
      </c>
      <c r="L698" s="582">
        <v>35</v>
      </c>
      <c r="M698" s="580">
        <f t="shared" si="204"/>
        <v>35</v>
      </c>
      <c r="N698" s="582">
        <f t="shared" si="204"/>
        <v>35</v>
      </c>
      <c r="O698" s="582">
        <f t="shared" si="204"/>
        <v>35</v>
      </c>
      <c r="P698" s="580">
        <f t="shared" si="204"/>
        <v>35</v>
      </c>
      <c r="Q698" s="580">
        <f t="shared" si="204"/>
        <v>35</v>
      </c>
      <c r="R698" s="580">
        <f t="shared" si="204"/>
        <v>35</v>
      </c>
      <c r="S698" s="580"/>
      <c r="T698" s="580">
        <v>2.2000000000000002</v>
      </c>
      <c r="U698" s="580">
        <v>5.2</v>
      </c>
      <c r="V698" s="593">
        <v>8.1999999999999993</v>
      </c>
      <c r="W698" s="580">
        <v>11.2</v>
      </c>
      <c r="X698" s="580">
        <v>14.2</v>
      </c>
      <c r="Y698" s="580">
        <v>17.2</v>
      </c>
      <c r="Z698" s="580">
        <f t="shared" si="205"/>
        <v>20.2</v>
      </c>
      <c r="AA698" s="593">
        <f t="shared" si="205"/>
        <v>23.2</v>
      </c>
      <c r="AB698" s="593">
        <f t="shared" si="205"/>
        <v>26.2</v>
      </c>
      <c r="AC698" s="593">
        <f t="shared" si="205"/>
        <v>29.2</v>
      </c>
      <c r="AD698" s="593">
        <f t="shared" si="205"/>
        <v>32.200000000000003</v>
      </c>
      <c r="AE698" s="580">
        <f t="shared" si="205"/>
        <v>35</v>
      </c>
      <c r="AF698" s="822"/>
      <c r="AG698" s="822"/>
      <c r="AH698" s="822"/>
      <c r="AI698" s="822"/>
      <c r="AJ698" s="822"/>
      <c r="AK698" s="806"/>
      <c r="AL698" s="806"/>
      <c r="AM698" s="806"/>
      <c r="AN698" s="806"/>
      <c r="AO698" s="806"/>
      <c r="AP698" s="806"/>
      <c r="AQ698" s="806"/>
      <c r="AR698" s="806"/>
      <c r="AS698" s="806"/>
      <c r="AT698" s="806"/>
      <c r="AU698" s="806"/>
      <c r="AV698" s="806"/>
      <c r="AW698" s="806"/>
      <c r="AX698" s="806"/>
      <c r="AY698" s="600"/>
    </row>
    <row r="699" spans="1:51" ht="28.9" customHeight="1" x14ac:dyDescent="0.25">
      <c r="A699" s="829"/>
      <c r="B699" s="823"/>
      <c r="C699" s="823"/>
      <c r="D699" s="578" t="s">
        <v>354</v>
      </c>
      <c r="E699" s="582">
        <v>1048216864</v>
      </c>
      <c r="F699" s="582">
        <v>1048216864</v>
      </c>
      <c r="G699" s="582">
        <v>1048216864</v>
      </c>
      <c r="H699" s="582">
        <v>1048216864</v>
      </c>
      <c r="I699" s="582">
        <v>1048216864</v>
      </c>
      <c r="J699" s="582">
        <v>1048216865</v>
      </c>
      <c r="K699" s="582">
        <v>1048216864</v>
      </c>
      <c r="L699" s="582">
        <v>1046470364</v>
      </c>
      <c r="M699" s="580">
        <f t="shared" si="204"/>
        <v>1046470364</v>
      </c>
      <c r="N699" s="582">
        <f t="shared" si="204"/>
        <v>1046470364</v>
      </c>
      <c r="O699" s="582">
        <f t="shared" si="204"/>
        <v>1046470364</v>
      </c>
      <c r="P699" s="580">
        <f t="shared" si="204"/>
        <v>1043090131</v>
      </c>
      <c r="Q699" s="580">
        <f t="shared" si="204"/>
        <v>963290131</v>
      </c>
      <c r="R699" s="580">
        <f t="shared" si="204"/>
        <v>963273069</v>
      </c>
      <c r="S699" s="580"/>
      <c r="T699" s="580">
        <v>15209900</v>
      </c>
      <c r="U699" s="580">
        <v>547755678</v>
      </c>
      <c r="V699" s="593">
        <v>678450798</v>
      </c>
      <c r="W699" s="580">
        <v>735452743.24000001</v>
      </c>
      <c r="X699" s="580">
        <v>851011586.24000001</v>
      </c>
      <c r="Y699" s="580">
        <v>911659789.24000001</v>
      </c>
      <c r="Z699" s="580">
        <f t="shared" si="205"/>
        <v>912975877.24000001</v>
      </c>
      <c r="AA699" s="593">
        <f t="shared" si="205"/>
        <v>917579269.24000001</v>
      </c>
      <c r="AB699" s="593">
        <f t="shared" si="205"/>
        <v>927895357.24000001</v>
      </c>
      <c r="AC699" s="593">
        <f t="shared" si="205"/>
        <v>928715302.24000001</v>
      </c>
      <c r="AD699" s="593">
        <f t="shared" si="205"/>
        <v>928715302.24000001</v>
      </c>
      <c r="AE699" s="580">
        <f t="shared" si="205"/>
        <v>963259302.24000001</v>
      </c>
      <c r="AF699" s="823"/>
      <c r="AG699" s="823"/>
      <c r="AH699" s="823"/>
      <c r="AI699" s="823"/>
      <c r="AJ699" s="823"/>
      <c r="AK699" s="807"/>
      <c r="AL699" s="807"/>
      <c r="AM699" s="807"/>
      <c r="AN699" s="807"/>
      <c r="AO699" s="807"/>
      <c r="AP699" s="807"/>
      <c r="AQ699" s="807"/>
      <c r="AR699" s="807"/>
      <c r="AS699" s="807"/>
      <c r="AT699" s="807"/>
      <c r="AU699" s="807"/>
      <c r="AV699" s="807"/>
      <c r="AW699" s="807"/>
      <c r="AX699" s="807"/>
      <c r="AY699" s="600"/>
    </row>
    <row r="700" spans="1:51" ht="36" customHeight="1" x14ac:dyDescent="0.25">
      <c r="A700" s="809" t="s">
        <v>917</v>
      </c>
      <c r="B700" s="810"/>
      <c r="C700" s="811"/>
      <c r="D700" s="641" t="s">
        <v>918</v>
      </c>
      <c r="E700" s="642">
        <v>4845293000</v>
      </c>
      <c r="F700" s="642">
        <v>4845293000</v>
      </c>
      <c r="G700" s="642">
        <v>4845293000</v>
      </c>
      <c r="H700" s="642">
        <v>4845293000</v>
      </c>
      <c r="I700" s="642">
        <v>4845293000</v>
      </c>
      <c r="J700" s="642">
        <v>4845293000</v>
      </c>
      <c r="K700" s="642">
        <v>4845293000</v>
      </c>
      <c r="L700" s="642">
        <v>4845293000</v>
      </c>
      <c r="M700" s="642">
        <f t="shared" ref="M700:R700" si="206">+M11+M143+M251+M383+M395+M533+M629+M641+M689</f>
        <v>4845293000</v>
      </c>
      <c r="N700" s="642">
        <f t="shared" si="206"/>
        <v>4845293000</v>
      </c>
      <c r="O700" s="642">
        <f t="shared" si="206"/>
        <v>4845293000</v>
      </c>
      <c r="P700" s="642">
        <f t="shared" si="206"/>
        <v>4845293000</v>
      </c>
      <c r="Q700" s="642">
        <f t="shared" si="206"/>
        <v>4756346000</v>
      </c>
      <c r="R700" s="642">
        <f t="shared" si="206"/>
        <v>4722788000</v>
      </c>
      <c r="S700" s="642"/>
      <c r="T700" s="642">
        <v>382172000</v>
      </c>
      <c r="U700" s="642">
        <v>2952186000</v>
      </c>
      <c r="V700" s="642">
        <v>3223395526</v>
      </c>
      <c r="W700" s="642">
        <v>3306450136</v>
      </c>
      <c r="X700" s="642">
        <v>3332315746</v>
      </c>
      <c r="Y700" s="642">
        <v>3349366212</v>
      </c>
      <c r="Z700" s="642">
        <f t="shared" ref="Z700:AE702" si="207">+Z11+Z143+Z251+Z383+Z395+Z533+Z629+Z641+Z689</f>
        <v>3895264300</v>
      </c>
      <c r="AA700" s="642">
        <f t="shared" si="207"/>
        <v>4059532388</v>
      </c>
      <c r="AB700" s="642">
        <f t="shared" si="207"/>
        <v>4163439476</v>
      </c>
      <c r="AC700" s="642">
        <f t="shared" si="207"/>
        <v>4164174000</v>
      </c>
      <c r="AD700" s="642">
        <f t="shared" si="207"/>
        <v>4199569000</v>
      </c>
      <c r="AE700" s="642">
        <f t="shared" si="207"/>
        <v>4487583436</v>
      </c>
      <c r="AF700" s="643"/>
      <c r="AG700" s="643"/>
      <c r="AH700" s="643"/>
      <c r="AI700" s="643"/>
      <c r="AJ700" s="643"/>
      <c r="AK700" s="643"/>
      <c r="AL700" s="643"/>
      <c r="AM700" s="643"/>
      <c r="AN700" s="643"/>
      <c r="AO700" s="643"/>
      <c r="AP700" s="644"/>
      <c r="AQ700" s="644"/>
      <c r="AR700" s="643"/>
      <c r="AS700" s="643"/>
      <c r="AT700" s="643"/>
      <c r="AU700" s="643"/>
      <c r="AV700" s="643"/>
      <c r="AW700" s="643"/>
      <c r="AX700" s="644"/>
      <c r="AY700" s="643"/>
    </row>
    <row r="701" spans="1:51" ht="36" customHeight="1" x14ac:dyDescent="0.25">
      <c r="A701" s="812"/>
      <c r="B701" s="813"/>
      <c r="C701" s="814"/>
      <c r="D701" s="641" t="s">
        <v>919</v>
      </c>
      <c r="E701" s="645">
        <v>650636963</v>
      </c>
      <c r="F701" s="645">
        <v>650636963</v>
      </c>
      <c r="G701" s="645">
        <v>650636963</v>
      </c>
      <c r="H701" s="645">
        <v>650636963</v>
      </c>
      <c r="I701" s="645">
        <v>650636963</v>
      </c>
      <c r="J701" s="645">
        <v>650636963</v>
      </c>
      <c r="K701" s="645">
        <v>650636963</v>
      </c>
      <c r="L701" s="645">
        <v>648597754</v>
      </c>
      <c r="M701" s="645">
        <v>648597754</v>
      </c>
      <c r="N701" s="645">
        <f t="shared" ref="N701:R701" si="208">+N13+N145+N253+N385+N397+N535+N631+N643+N691</f>
        <v>648597754</v>
      </c>
      <c r="O701" s="645">
        <f t="shared" si="208"/>
        <v>648597754</v>
      </c>
      <c r="P701" s="645">
        <f t="shared" si="208"/>
        <v>648597754</v>
      </c>
      <c r="Q701" s="645">
        <f t="shared" si="208"/>
        <v>648597754</v>
      </c>
      <c r="R701" s="645">
        <f t="shared" si="208"/>
        <v>648535497</v>
      </c>
      <c r="S701" s="645"/>
      <c r="T701" s="645">
        <v>160245065</v>
      </c>
      <c r="U701" s="645">
        <v>278801647</v>
      </c>
      <c r="V701" s="645">
        <v>300900291</v>
      </c>
      <c r="W701" s="645">
        <v>378949612.24000001</v>
      </c>
      <c r="X701" s="645">
        <v>511110462.24000001</v>
      </c>
      <c r="Y701" s="645">
        <v>627773931.24000001</v>
      </c>
      <c r="Z701" s="645">
        <v>628109391.24000001</v>
      </c>
      <c r="AA701" s="645">
        <f t="shared" ref="AA701:AB701" si="209">+AA13+AA145+AA253+AA385+AA397+AA535+AA631+AA643+AA691</f>
        <v>631261695.24000001</v>
      </c>
      <c r="AB701" s="645">
        <f t="shared" si="209"/>
        <v>631261695.24000001</v>
      </c>
      <c r="AC701" s="642">
        <f t="shared" si="207"/>
        <v>0</v>
      </c>
      <c r="AD701" s="645">
        <f t="shared" ref="AD701:AE701" si="210">+AD13+AD145+AD253+AD385+AD397+AD535+AD631+AD643+AD691</f>
        <v>648535497.24000001</v>
      </c>
      <c r="AE701" s="645">
        <f t="shared" si="210"/>
        <v>648535497.24000001</v>
      </c>
      <c r="AF701" s="643"/>
      <c r="AG701" s="643"/>
      <c r="AH701" s="643"/>
      <c r="AI701" s="643"/>
      <c r="AJ701" s="643"/>
      <c r="AK701" s="643"/>
      <c r="AL701" s="643"/>
      <c r="AM701" s="643"/>
      <c r="AN701" s="643"/>
      <c r="AO701" s="643"/>
      <c r="AP701" s="644"/>
      <c r="AQ701" s="644"/>
      <c r="AR701" s="643"/>
      <c r="AS701" s="643"/>
      <c r="AT701" s="643"/>
      <c r="AU701" s="643"/>
      <c r="AV701" s="643"/>
      <c r="AW701" s="643"/>
      <c r="AX701" s="644"/>
      <c r="AY701" s="643"/>
    </row>
    <row r="702" spans="1:51" ht="36" customHeight="1" thickBot="1" x14ac:dyDescent="0.3">
      <c r="A702" s="815"/>
      <c r="B702" s="816"/>
      <c r="C702" s="817"/>
      <c r="D702" s="646" t="s">
        <v>920</v>
      </c>
      <c r="E702" s="645">
        <v>5495929963</v>
      </c>
      <c r="F702" s="645">
        <v>5495929963</v>
      </c>
      <c r="G702" s="645">
        <v>5495929963</v>
      </c>
      <c r="H702" s="645">
        <v>5495929963</v>
      </c>
      <c r="I702" s="645">
        <v>5495929963</v>
      </c>
      <c r="J702" s="645">
        <v>5495929963</v>
      </c>
      <c r="K702" s="645">
        <v>5495929963</v>
      </c>
      <c r="L702" s="645">
        <v>5493890754</v>
      </c>
      <c r="M702" s="642">
        <f t="shared" ref="M702:R702" si="211">+M700+M701</f>
        <v>5493890754</v>
      </c>
      <c r="N702" s="642">
        <f t="shared" si="211"/>
        <v>5493890754</v>
      </c>
      <c r="O702" s="642">
        <f t="shared" si="211"/>
        <v>5493890754</v>
      </c>
      <c r="P702" s="642">
        <f t="shared" si="211"/>
        <v>5493890754</v>
      </c>
      <c r="Q702" s="642">
        <f t="shared" si="211"/>
        <v>5404943754</v>
      </c>
      <c r="R702" s="642">
        <f t="shared" si="211"/>
        <v>5371323497</v>
      </c>
      <c r="S702" s="642"/>
      <c r="T702" s="645">
        <v>542417065</v>
      </c>
      <c r="U702" s="645">
        <v>3230987647</v>
      </c>
      <c r="V702" s="645">
        <v>3524295817</v>
      </c>
      <c r="W702" s="645">
        <v>3685399748.2399998</v>
      </c>
      <c r="X702" s="645">
        <v>3843426208.2399998</v>
      </c>
      <c r="Y702" s="645">
        <v>3977140143.2399998</v>
      </c>
      <c r="Z702" s="642">
        <f t="shared" ref="Z702:AB702" si="212">+Z700+Z701</f>
        <v>4523373691.2399998</v>
      </c>
      <c r="AA702" s="642">
        <f t="shared" si="212"/>
        <v>4690794083.2399998</v>
      </c>
      <c r="AB702" s="642">
        <f t="shared" si="212"/>
        <v>4794701171.2399998</v>
      </c>
      <c r="AC702" s="642">
        <f t="shared" si="207"/>
        <v>648535497.24000001</v>
      </c>
      <c r="AD702" s="642">
        <f t="shared" ref="AD702:AE702" si="213">+AD700+AD701</f>
        <v>4848104497.2399998</v>
      </c>
      <c r="AE702" s="642">
        <f t="shared" si="213"/>
        <v>5136118933.2399998</v>
      </c>
      <c r="AF702" s="643"/>
      <c r="AG702" s="643"/>
      <c r="AH702" s="643"/>
      <c r="AI702" s="643"/>
      <c r="AJ702" s="643"/>
      <c r="AK702" s="643"/>
      <c r="AL702" s="643"/>
      <c r="AM702" s="643"/>
      <c r="AN702" s="643"/>
      <c r="AO702" s="643"/>
      <c r="AP702" s="644"/>
      <c r="AQ702" s="644"/>
      <c r="AR702" s="643"/>
      <c r="AS702" s="643"/>
      <c r="AT702" s="643"/>
      <c r="AU702" s="643"/>
      <c r="AV702" s="643"/>
      <c r="AW702" s="643"/>
      <c r="AX702" s="644"/>
      <c r="AY702" s="643"/>
    </row>
    <row r="703" spans="1:51" ht="15.75" customHeight="1" x14ac:dyDescent="0.25">
      <c r="A703" s="602"/>
      <c r="B703" s="602"/>
      <c r="C703" s="628"/>
      <c r="D703" s="602"/>
      <c r="E703" s="577"/>
      <c r="F703" s="577"/>
      <c r="G703" s="577"/>
      <c r="H703" s="577"/>
      <c r="I703" s="577"/>
      <c r="J703" s="577"/>
      <c r="K703" s="577"/>
      <c r="L703" s="577"/>
      <c r="M703" s="647"/>
      <c r="N703" s="577"/>
      <c r="O703" s="577"/>
      <c r="P703" s="577"/>
      <c r="Q703" s="577"/>
      <c r="R703" s="647"/>
      <c r="S703" s="577"/>
      <c r="T703" s="577"/>
      <c r="V703" s="577"/>
      <c r="Z703" s="628"/>
      <c r="AG703" s="602"/>
      <c r="AH703" s="602"/>
      <c r="AI703" s="602"/>
      <c r="AJ703" s="602"/>
      <c r="AK703" s="602"/>
      <c r="AL703" s="602"/>
    </row>
    <row r="704" spans="1:51" ht="15.75" customHeight="1" x14ac:dyDescent="0.25">
      <c r="A704" s="648"/>
      <c r="B704" s="649" t="s">
        <v>199</v>
      </c>
      <c r="C704" s="628"/>
      <c r="G704" s="650"/>
      <c r="H704" s="650"/>
      <c r="I704" s="650"/>
      <c r="J704" s="650"/>
      <c r="K704" s="650"/>
      <c r="L704" s="650"/>
      <c r="M704" s="651"/>
      <c r="N704" s="650"/>
      <c r="O704" s="650"/>
      <c r="P704" s="650"/>
      <c r="Q704" s="650"/>
      <c r="R704" s="651"/>
      <c r="S704" s="650"/>
      <c r="T704" s="577"/>
      <c r="V704" s="650"/>
      <c r="Z704" s="628"/>
      <c r="AA704" s="628"/>
      <c r="AB704" s="628"/>
      <c r="AC704" s="628"/>
      <c r="AD704" s="628"/>
      <c r="AE704" s="628"/>
      <c r="AG704" s="602"/>
      <c r="AH704" s="602"/>
      <c r="AI704" s="602"/>
      <c r="AJ704" s="602"/>
      <c r="AK704" s="602"/>
      <c r="AL704" s="602"/>
    </row>
    <row r="705" spans="1:38" ht="15" customHeight="1" x14ac:dyDescent="0.25">
      <c r="A705" s="648"/>
      <c r="B705" s="652" t="s">
        <v>200</v>
      </c>
      <c r="C705" s="818" t="s">
        <v>201</v>
      </c>
      <c r="D705" s="802"/>
      <c r="E705" s="802"/>
      <c r="F705" s="802"/>
      <c r="G705" s="802"/>
      <c r="H705" s="803"/>
      <c r="I705" s="819" t="s">
        <v>202</v>
      </c>
      <c r="J705" s="802"/>
      <c r="K705" s="802"/>
      <c r="L705" s="802"/>
      <c r="M705" s="802"/>
      <c r="N705" s="802"/>
      <c r="O705" s="802"/>
      <c r="P705" s="802"/>
      <c r="Q705" s="803"/>
      <c r="R705" s="651"/>
      <c r="S705" s="650"/>
      <c r="T705" s="577"/>
      <c r="V705" s="650"/>
      <c r="Z705" s="628"/>
      <c r="AA705" s="628"/>
      <c r="AB705" s="628"/>
      <c r="AC705" s="628"/>
      <c r="AD705" s="628"/>
      <c r="AE705" s="628"/>
      <c r="AF705" s="577"/>
      <c r="AG705" s="602"/>
      <c r="AH705" s="602"/>
      <c r="AI705" s="602"/>
      <c r="AJ705" s="602"/>
      <c r="AK705" s="602"/>
      <c r="AL705" s="602"/>
    </row>
    <row r="706" spans="1:38" ht="15" customHeight="1" x14ac:dyDescent="0.25">
      <c r="A706" s="648"/>
      <c r="B706" s="653">
        <v>13</v>
      </c>
      <c r="C706" s="801" t="s">
        <v>203</v>
      </c>
      <c r="D706" s="802"/>
      <c r="E706" s="802"/>
      <c r="F706" s="802"/>
      <c r="G706" s="802"/>
      <c r="H706" s="803"/>
      <c r="I706" s="804" t="s">
        <v>204</v>
      </c>
      <c r="J706" s="802"/>
      <c r="K706" s="802"/>
      <c r="L706" s="802"/>
      <c r="M706" s="802"/>
      <c r="N706" s="802"/>
      <c r="O706" s="802"/>
      <c r="P706" s="802"/>
      <c r="Q706" s="803"/>
      <c r="R706" s="651"/>
      <c r="S706" s="650"/>
      <c r="T706" s="577"/>
      <c r="V706" s="650"/>
      <c r="Z706" s="628"/>
      <c r="AA706" s="628"/>
      <c r="AB706" s="628"/>
      <c r="AC706" s="628"/>
      <c r="AD706" s="628"/>
      <c r="AE706" s="628"/>
      <c r="AF706" s="577"/>
      <c r="AG706" s="602"/>
      <c r="AH706" s="602"/>
      <c r="AI706" s="602"/>
      <c r="AJ706" s="602"/>
      <c r="AK706" s="602"/>
      <c r="AL706" s="602"/>
    </row>
    <row r="707" spans="1:38" ht="15" customHeight="1" x14ac:dyDescent="0.25">
      <c r="A707" s="648"/>
      <c r="B707" s="653">
        <v>14</v>
      </c>
      <c r="C707" s="801" t="s">
        <v>921</v>
      </c>
      <c r="D707" s="802"/>
      <c r="E707" s="802"/>
      <c r="F707" s="802"/>
      <c r="G707" s="802"/>
      <c r="H707" s="803"/>
      <c r="I707" s="804" t="s">
        <v>206</v>
      </c>
      <c r="J707" s="802"/>
      <c r="K707" s="802"/>
      <c r="L707" s="802"/>
      <c r="M707" s="802"/>
      <c r="N707" s="802"/>
      <c r="O707" s="802"/>
      <c r="P707" s="802"/>
      <c r="Q707" s="803"/>
      <c r="R707" s="651"/>
      <c r="S707" s="650"/>
      <c r="T707" s="650"/>
      <c r="U707" s="650"/>
      <c r="V707" s="650"/>
      <c r="Z707" s="628"/>
      <c r="AA707" s="628"/>
      <c r="AB707" s="628"/>
      <c r="AC707" s="628"/>
      <c r="AD707" s="628"/>
      <c r="AE707" s="628"/>
      <c r="AF707" s="577"/>
      <c r="AG707" s="602"/>
      <c r="AH707" s="602"/>
      <c r="AI707" s="602"/>
      <c r="AJ707" s="602"/>
      <c r="AK707" s="602"/>
      <c r="AL707" s="602"/>
    </row>
    <row r="708" spans="1:38" ht="15.75" customHeight="1" x14ac:dyDescent="0.25">
      <c r="A708" s="602"/>
      <c r="B708" s="602"/>
      <c r="C708" s="628"/>
      <c r="D708" s="602"/>
      <c r="E708" s="602"/>
      <c r="F708" s="602"/>
      <c r="G708" s="602"/>
      <c r="H708" s="602"/>
      <c r="I708" s="602"/>
      <c r="J708" s="602"/>
      <c r="K708" s="602"/>
      <c r="L708" s="602"/>
      <c r="M708" s="602"/>
      <c r="N708" s="602"/>
      <c r="O708" s="602"/>
      <c r="P708" s="602"/>
      <c r="Q708" s="602"/>
      <c r="R708" s="628"/>
      <c r="S708" s="602"/>
      <c r="T708" s="602"/>
      <c r="U708" s="602"/>
      <c r="V708" s="602"/>
      <c r="Z708" s="628"/>
      <c r="AA708" s="628"/>
      <c r="AB708" s="628"/>
      <c r="AC708" s="628"/>
      <c r="AD708" s="628"/>
      <c r="AE708" s="628"/>
      <c r="AF708" s="650"/>
      <c r="AG708" s="602"/>
      <c r="AH708" s="602"/>
      <c r="AI708" s="602"/>
      <c r="AJ708" s="602"/>
      <c r="AK708" s="602"/>
      <c r="AL708" s="602"/>
    </row>
    <row r="709" spans="1:38" ht="15.75" customHeight="1" x14ac:dyDescent="0.25">
      <c r="A709" s="602"/>
      <c r="B709" s="602"/>
      <c r="C709" s="628"/>
      <c r="D709" s="602"/>
      <c r="E709" s="602"/>
      <c r="F709" s="602"/>
      <c r="G709" s="602"/>
      <c r="H709" s="602"/>
      <c r="I709" s="602"/>
      <c r="J709" s="602"/>
      <c r="K709" s="602"/>
      <c r="L709" s="602"/>
      <c r="M709" s="602"/>
      <c r="N709" s="602"/>
      <c r="O709" s="602"/>
      <c r="P709" s="602"/>
      <c r="Q709" s="602"/>
      <c r="R709" s="628"/>
      <c r="S709" s="602"/>
      <c r="T709" s="602"/>
      <c r="U709" s="602"/>
      <c r="V709" s="602"/>
      <c r="Z709" s="628"/>
      <c r="AG709" s="602"/>
      <c r="AH709" s="602"/>
      <c r="AI709" s="602"/>
      <c r="AJ709" s="602"/>
      <c r="AK709" s="602"/>
      <c r="AL709" s="602"/>
    </row>
    <row r="710" spans="1:38" ht="15.75" customHeight="1" x14ac:dyDescent="0.25">
      <c r="A710" s="602"/>
      <c r="B710" s="602"/>
      <c r="C710" s="628"/>
      <c r="D710" s="602"/>
      <c r="E710" s="577"/>
      <c r="F710" s="577"/>
      <c r="G710" s="577"/>
      <c r="H710" s="577"/>
      <c r="I710" s="577"/>
      <c r="J710" s="577"/>
      <c r="K710" s="577"/>
      <c r="L710" s="577"/>
      <c r="M710" s="577"/>
      <c r="N710" s="577"/>
      <c r="O710" s="577"/>
      <c r="P710" s="577"/>
      <c r="Q710" s="577"/>
      <c r="R710" s="647"/>
      <c r="S710" s="577"/>
      <c r="T710" s="577"/>
      <c r="U710" s="577"/>
      <c r="V710" s="577"/>
      <c r="Z710" s="628"/>
      <c r="AG710" s="602"/>
      <c r="AH710" s="602"/>
      <c r="AI710" s="602"/>
      <c r="AJ710" s="602"/>
      <c r="AK710" s="602"/>
      <c r="AL710" s="602"/>
    </row>
    <row r="711" spans="1:38" ht="15.75" customHeight="1" x14ac:dyDescent="0.25">
      <c r="A711" s="602"/>
      <c r="B711" s="602"/>
      <c r="C711" s="628"/>
      <c r="D711" s="602"/>
      <c r="E711" s="654"/>
      <c r="F711" s="654"/>
      <c r="G711" s="654"/>
      <c r="H711" s="654"/>
      <c r="I711" s="654"/>
      <c r="J711" s="654"/>
      <c r="K711" s="654"/>
      <c r="L711" s="654"/>
      <c r="M711" s="654"/>
      <c r="N711" s="654"/>
      <c r="O711" s="654"/>
      <c r="P711" s="654"/>
      <c r="Q711" s="654"/>
      <c r="R711" s="655"/>
      <c r="S711" s="602"/>
      <c r="T711" s="602"/>
      <c r="U711" s="602"/>
      <c r="V711" s="602"/>
      <c r="Z711" s="628"/>
      <c r="AG711" s="602"/>
      <c r="AH711" s="602"/>
      <c r="AI711" s="602"/>
      <c r="AJ711" s="602"/>
      <c r="AK711" s="602"/>
      <c r="AL711" s="602"/>
    </row>
    <row r="712" spans="1:38" ht="15.75" customHeight="1" x14ac:dyDescent="0.25">
      <c r="A712" s="602"/>
      <c r="B712" s="602"/>
      <c r="C712" s="628"/>
      <c r="D712" s="602"/>
      <c r="E712" s="602"/>
      <c r="F712" s="602"/>
      <c r="G712" s="602"/>
      <c r="H712" s="602"/>
      <c r="I712" s="602"/>
      <c r="J712" s="602"/>
      <c r="K712" s="602"/>
      <c r="L712" s="602"/>
      <c r="M712" s="628"/>
      <c r="N712" s="602"/>
      <c r="O712" s="602"/>
      <c r="P712" s="602"/>
      <c r="Q712" s="602"/>
      <c r="R712" s="628"/>
      <c r="S712" s="602"/>
      <c r="T712" s="602"/>
      <c r="U712" s="602"/>
      <c r="V712" s="602"/>
      <c r="Z712" s="628"/>
      <c r="AG712" s="602"/>
      <c r="AH712" s="602"/>
      <c r="AI712" s="602"/>
      <c r="AJ712" s="602"/>
      <c r="AK712" s="602"/>
      <c r="AL712" s="602"/>
    </row>
    <row r="713" spans="1:38" ht="15.75" customHeight="1" x14ac:dyDescent="0.25">
      <c r="A713" s="602"/>
      <c r="B713" s="602"/>
      <c r="C713" s="628"/>
      <c r="D713" s="602"/>
      <c r="E713" s="577"/>
      <c r="F713" s="577"/>
      <c r="G713" s="577"/>
      <c r="H713" s="577"/>
      <c r="I713" s="577"/>
      <c r="J713" s="577"/>
      <c r="K713" s="602"/>
      <c r="L713" s="577"/>
      <c r="M713" s="647"/>
      <c r="N713" s="577"/>
      <c r="O713" s="577"/>
      <c r="P713" s="577"/>
      <c r="Q713" s="577"/>
      <c r="R713" s="647"/>
      <c r="S713" s="577"/>
      <c r="T713" s="577"/>
      <c r="U713" s="577"/>
      <c r="V713" s="577"/>
      <c r="Z713" s="628"/>
      <c r="AG713" s="602"/>
      <c r="AH713" s="602"/>
      <c r="AI713" s="602"/>
      <c r="AJ713" s="602"/>
      <c r="AK713" s="602"/>
      <c r="AL713" s="602"/>
    </row>
    <row r="714" spans="1:38" ht="15.75" customHeight="1" x14ac:dyDescent="0.25">
      <c r="A714" s="602"/>
      <c r="B714" s="602"/>
      <c r="C714" s="628"/>
      <c r="D714" s="602"/>
      <c r="E714" s="602"/>
      <c r="F714" s="602"/>
      <c r="G714" s="602"/>
      <c r="H714" s="602"/>
      <c r="I714" s="602"/>
      <c r="J714" s="602"/>
      <c r="K714" s="602"/>
      <c r="L714" s="602"/>
      <c r="M714" s="628"/>
      <c r="N714" s="602"/>
      <c r="O714" s="602"/>
      <c r="P714" s="602"/>
      <c r="Q714" s="602"/>
      <c r="R714" s="628"/>
      <c r="S714" s="602"/>
      <c r="T714" s="602"/>
      <c r="U714" s="602"/>
      <c r="V714" s="602"/>
      <c r="Z714" s="628"/>
      <c r="AG714" s="602"/>
      <c r="AH714" s="602"/>
      <c r="AI714" s="602"/>
      <c r="AJ714" s="602"/>
      <c r="AK714" s="602"/>
      <c r="AL714" s="602"/>
    </row>
    <row r="715" spans="1:38" ht="15.75" customHeight="1" x14ac:dyDescent="0.25">
      <c r="A715" s="602"/>
      <c r="B715" s="602"/>
      <c r="C715" s="628"/>
      <c r="D715" s="602"/>
      <c r="E715" s="602"/>
      <c r="F715" s="602"/>
      <c r="G715" s="602"/>
      <c r="H715" s="602"/>
      <c r="I715" s="602"/>
      <c r="J715" s="602"/>
      <c r="K715" s="602"/>
      <c r="L715" s="602"/>
      <c r="M715" s="628"/>
      <c r="N715" s="602"/>
      <c r="O715" s="602"/>
      <c r="P715" s="602"/>
      <c r="Q715" s="602"/>
      <c r="R715" s="628"/>
      <c r="S715" s="602"/>
      <c r="T715" s="602"/>
      <c r="U715" s="602"/>
      <c r="V715" s="602"/>
      <c r="Z715" s="628"/>
      <c r="AG715" s="602"/>
      <c r="AH715" s="602"/>
      <c r="AI715" s="602"/>
      <c r="AJ715" s="602"/>
      <c r="AK715" s="602"/>
      <c r="AL715" s="602"/>
    </row>
    <row r="716" spans="1:38" ht="15.75" customHeight="1" x14ac:dyDescent="0.25">
      <c r="A716" s="602"/>
      <c r="B716" s="602"/>
      <c r="C716" s="628"/>
      <c r="D716" s="602"/>
      <c r="E716" s="602"/>
      <c r="F716" s="602"/>
      <c r="G716" s="602"/>
      <c r="H716" s="602"/>
      <c r="I716" s="602"/>
      <c r="J716" s="602"/>
      <c r="K716" s="602"/>
      <c r="L716" s="602"/>
      <c r="M716" s="628"/>
      <c r="N716" s="602"/>
      <c r="O716" s="602"/>
      <c r="P716" s="602"/>
      <c r="Q716" s="602"/>
      <c r="R716" s="628"/>
      <c r="S716" s="602"/>
      <c r="T716" s="602"/>
      <c r="U716" s="602"/>
      <c r="V716" s="602"/>
      <c r="Z716" s="628"/>
      <c r="AG716" s="602"/>
      <c r="AH716" s="602"/>
      <c r="AI716" s="602"/>
      <c r="AJ716" s="602"/>
      <c r="AK716" s="602"/>
      <c r="AL716" s="602"/>
    </row>
    <row r="717" spans="1:38" ht="15.75" customHeight="1" x14ac:dyDescent="0.25">
      <c r="A717" s="602"/>
      <c r="B717" s="602"/>
      <c r="C717" s="628"/>
      <c r="D717" s="602"/>
      <c r="E717" s="602"/>
      <c r="F717" s="602"/>
      <c r="G717" s="602"/>
      <c r="H717" s="602"/>
      <c r="I717" s="602"/>
      <c r="J717" s="602"/>
      <c r="K717" s="602"/>
      <c r="L717" s="602"/>
      <c r="M717" s="628"/>
      <c r="N717" s="602"/>
      <c r="O717" s="602"/>
      <c r="P717" s="602"/>
      <c r="Q717" s="602"/>
      <c r="R717" s="628"/>
      <c r="S717" s="602"/>
      <c r="T717" s="602"/>
      <c r="U717" s="602"/>
      <c r="V717" s="602"/>
      <c r="Z717" s="628"/>
      <c r="AG717" s="602"/>
      <c r="AH717" s="602"/>
      <c r="AI717" s="602"/>
      <c r="AJ717" s="602"/>
      <c r="AK717" s="602"/>
      <c r="AL717" s="602"/>
    </row>
    <row r="718" spans="1:38" ht="15.75" customHeight="1" x14ac:dyDescent="0.25">
      <c r="A718" s="602"/>
      <c r="B718" s="602"/>
      <c r="C718" s="628"/>
      <c r="D718" s="602"/>
      <c r="E718" s="602"/>
      <c r="F718" s="602"/>
      <c r="G718" s="602"/>
      <c r="H718" s="602"/>
      <c r="I718" s="602"/>
      <c r="J718" s="602"/>
      <c r="K718" s="602"/>
      <c r="L718" s="602"/>
      <c r="M718" s="628"/>
      <c r="N718" s="602"/>
      <c r="O718" s="602"/>
      <c r="P718" s="602"/>
      <c r="Q718" s="602"/>
      <c r="R718" s="628"/>
      <c r="S718" s="602"/>
      <c r="T718" s="602"/>
      <c r="U718" s="602"/>
      <c r="V718" s="602"/>
      <c r="Z718" s="628"/>
      <c r="AG718" s="602"/>
      <c r="AH718" s="602"/>
      <c r="AI718" s="602"/>
      <c r="AJ718" s="602"/>
      <c r="AK718" s="602"/>
      <c r="AL718" s="602"/>
    </row>
    <row r="719" spans="1:38" ht="15.75" customHeight="1" x14ac:dyDescent="0.25">
      <c r="A719" s="602"/>
      <c r="B719" s="602"/>
      <c r="C719" s="628"/>
      <c r="D719" s="602"/>
      <c r="E719" s="602"/>
      <c r="F719" s="602"/>
      <c r="G719" s="602"/>
      <c r="H719" s="602"/>
      <c r="I719" s="602"/>
      <c r="J719" s="602"/>
      <c r="K719" s="602"/>
      <c r="L719" s="602"/>
      <c r="M719" s="628"/>
      <c r="N719" s="602"/>
      <c r="O719" s="602"/>
      <c r="P719" s="602"/>
      <c r="Q719" s="602"/>
      <c r="R719" s="628"/>
      <c r="S719" s="602"/>
      <c r="T719" s="602"/>
      <c r="U719" s="602"/>
      <c r="V719" s="602"/>
      <c r="Z719" s="628"/>
      <c r="AG719" s="602"/>
      <c r="AH719" s="602"/>
      <c r="AI719" s="602"/>
      <c r="AJ719" s="602"/>
      <c r="AK719" s="602"/>
      <c r="AL719" s="602"/>
    </row>
    <row r="720" spans="1:38" ht="15.75" customHeight="1" x14ac:dyDescent="0.25">
      <c r="A720" s="602"/>
      <c r="B720" s="602"/>
      <c r="C720" s="628"/>
      <c r="D720" s="602"/>
      <c r="E720" s="602"/>
      <c r="F720" s="602"/>
      <c r="G720" s="602"/>
      <c r="H720" s="602"/>
      <c r="I720" s="602"/>
      <c r="J720" s="602"/>
      <c r="K720" s="602"/>
      <c r="L720" s="602"/>
      <c r="M720" s="628"/>
      <c r="N720" s="602"/>
      <c r="O720" s="602"/>
      <c r="P720" s="602"/>
      <c r="Q720" s="602"/>
      <c r="R720" s="628"/>
      <c r="S720" s="602"/>
      <c r="T720" s="602"/>
      <c r="U720" s="602"/>
      <c r="V720" s="602"/>
      <c r="Z720" s="628"/>
      <c r="AG720" s="602"/>
      <c r="AH720" s="602"/>
      <c r="AI720" s="602"/>
      <c r="AJ720" s="602"/>
      <c r="AK720" s="602"/>
      <c r="AL720" s="602"/>
    </row>
    <row r="721" spans="3:38" ht="15.75" customHeight="1" x14ac:dyDescent="0.25">
      <c r="C721" s="628"/>
      <c r="K721" s="602"/>
      <c r="M721" s="628"/>
      <c r="R721" s="628"/>
      <c r="S721" s="602"/>
      <c r="T721" s="602"/>
      <c r="U721" s="602"/>
      <c r="V721" s="602"/>
      <c r="Z721" s="628"/>
      <c r="AG721" s="602"/>
      <c r="AH721" s="602"/>
      <c r="AI721" s="602"/>
      <c r="AJ721" s="602"/>
      <c r="AK721" s="602"/>
      <c r="AL721" s="602"/>
    </row>
    <row r="722" spans="3:38" ht="15.75" customHeight="1" x14ac:dyDescent="0.25">
      <c r="C722" s="628"/>
      <c r="K722" s="602"/>
      <c r="M722" s="628"/>
      <c r="R722" s="628"/>
      <c r="S722" s="602"/>
      <c r="T722" s="602"/>
      <c r="U722" s="602"/>
      <c r="V722" s="602"/>
      <c r="Z722" s="628"/>
      <c r="AG722" s="602"/>
      <c r="AH722" s="602"/>
      <c r="AI722" s="602"/>
      <c r="AJ722" s="602"/>
      <c r="AK722" s="602"/>
      <c r="AL722" s="602"/>
    </row>
    <row r="723" spans="3:38" ht="15.75" customHeight="1" x14ac:dyDescent="0.25">
      <c r="C723" s="628"/>
      <c r="K723" s="602"/>
      <c r="M723" s="628"/>
      <c r="R723" s="628"/>
      <c r="S723" s="602"/>
      <c r="T723" s="602"/>
      <c r="U723" s="602"/>
      <c r="V723" s="602"/>
      <c r="Z723" s="628"/>
      <c r="AG723" s="602"/>
      <c r="AH723" s="602"/>
      <c r="AI723" s="602"/>
      <c r="AJ723" s="602"/>
      <c r="AK723" s="602"/>
      <c r="AL723" s="602"/>
    </row>
    <row r="724" spans="3:38" ht="15.75" customHeight="1" x14ac:dyDescent="0.25">
      <c r="C724" s="628"/>
      <c r="K724" s="602"/>
      <c r="M724" s="628"/>
      <c r="R724" s="628"/>
      <c r="S724" s="602"/>
      <c r="T724" s="602"/>
      <c r="U724" s="602"/>
      <c r="V724" s="602"/>
      <c r="Z724" s="628"/>
      <c r="AG724" s="602"/>
      <c r="AH724" s="602"/>
      <c r="AI724" s="602"/>
      <c r="AJ724" s="602"/>
      <c r="AK724" s="602"/>
      <c r="AL724" s="602"/>
    </row>
    <row r="725" spans="3:38" ht="15.75" customHeight="1" x14ac:dyDescent="0.25">
      <c r="C725" s="628"/>
      <c r="K725" s="602"/>
      <c r="M725" s="628"/>
      <c r="R725" s="628"/>
      <c r="S725" s="602"/>
      <c r="T725" s="602"/>
      <c r="U725" s="602"/>
      <c r="V725" s="602"/>
      <c r="Z725" s="628"/>
      <c r="AG725" s="602"/>
      <c r="AH725" s="602"/>
      <c r="AI725" s="602"/>
      <c r="AJ725" s="602"/>
      <c r="AK725" s="602"/>
      <c r="AL725" s="602"/>
    </row>
    <row r="726" spans="3:38" ht="15.75" customHeight="1" x14ac:dyDescent="0.25">
      <c r="C726" s="628"/>
      <c r="K726" s="602"/>
      <c r="M726" s="628"/>
      <c r="R726" s="628"/>
      <c r="S726" s="602"/>
      <c r="T726" s="602"/>
      <c r="U726" s="602"/>
      <c r="V726" s="602"/>
      <c r="Z726" s="628"/>
      <c r="AG726" s="602"/>
      <c r="AH726" s="602"/>
      <c r="AI726" s="602"/>
      <c r="AJ726" s="602"/>
      <c r="AK726" s="602"/>
      <c r="AL726" s="602"/>
    </row>
    <row r="727" spans="3:38" ht="15.75" customHeight="1" x14ac:dyDescent="0.25">
      <c r="C727" s="628"/>
      <c r="K727" s="602"/>
      <c r="M727" s="628"/>
      <c r="R727" s="628"/>
      <c r="S727" s="602"/>
      <c r="T727" s="602"/>
      <c r="U727" s="602"/>
      <c r="V727" s="602"/>
      <c r="Z727" s="628"/>
      <c r="AG727" s="602"/>
      <c r="AH727" s="602"/>
      <c r="AI727" s="602"/>
      <c r="AJ727" s="602"/>
      <c r="AK727" s="602"/>
      <c r="AL727" s="602"/>
    </row>
    <row r="728" spans="3:38" ht="15.75" customHeight="1" x14ac:dyDescent="0.25">
      <c r="C728" s="628"/>
      <c r="K728" s="602"/>
      <c r="M728" s="628"/>
      <c r="R728" s="628"/>
      <c r="S728" s="602"/>
      <c r="T728" s="602"/>
      <c r="U728" s="602"/>
      <c r="V728" s="602"/>
      <c r="Z728" s="628"/>
      <c r="AG728" s="602"/>
      <c r="AH728" s="602"/>
      <c r="AI728" s="602"/>
      <c r="AJ728" s="602"/>
      <c r="AK728" s="602"/>
      <c r="AL728" s="602"/>
    </row>
    <row r="729" spans="3:38" ht="15.75" customHeight="1" x14ac:dyDescent="0.25">
      <c r="C729" s="628"/>
      <c r="K729" s="602"/>
      <c r="M729" s="628"/>
      <c r="R729" s="628"/>
      <c r="S729" s="602"/>
      <c r="T729" s="602"/>
      <c r="U729" s="602"/>
      <c r="V729" s="602"/>
      <c r="Z729" s="628"/>
      <c r="AG729" s="602"/>
      <c r="AH729" s="602"/>
      <c r="AI729" s="602"/>
      <c r="AJ729" s="602"/>
      <c r="AK729" s="602"/>
      <c r="AL729" s="602"/>
    </row>
    <row r="730" spans="3:38" ht="15.75" customHeight="1" x14ac:dyDescent="0.25">
      <c r="C730" s="628"/>
      <c r="K730" s="602"/>
      <c r="M730" s="628"/>
      <c r="R730" s="628"/>
      <c r="S730" s="602"/>
      <c r="T730" s="602"/>
      <c r="U730" s="602"/>
      <c r="V730" s="602"/>
      <c r="Z730" s="628"/>
      <c r="AG730" s="602"/>
      <c r="AH730" s="602"/>
      <c r="AI730" s="602"/>
      <c r="AJ730" s="602"/>
      <c r="AK730" s="602"/>
      <c r="AL730" s="602"/>
    </row>
    <row r="731" spans="3:38" ht="15.75" customHeight="1" x14ac:dyDescent="0.25">
      <c r="C731" s="628"/>
      <c r="K731" s="602"/>
      <c r="M731" s="628"/>
      <c r="R731" s="628"/>
      <c r="S731" s="602"/>
      <c r="T731" s="602"/>
      <c r="U731" s="602"/>
      <c r="V731" s="602"/>
      <c r="Z731" s="628"/>
      <c r="AG731" s="602"/>
      <c r="AH731" s="602"/>
      <c r="AI731" s="602"/>
      <c r="AJ731" s="602"/>
      <c r="AK731" s="602"/>
      <c r="AL731" s="602"/>
    </row>
    <row r="732" spans="3:38" ht="15.75" customHeight="1" x14ac:dyDescent="0.25">
      <c r="C732" s="628"/>
      <c r="K732" s="602"/>
      <c r="M732" s="628"/>
      <c r="R732" s="628"/>
      <c r="S732" s="602"/>
      <c r="T732" s="602"/>
      <c r="U732" s="602"/>
      <c r="V732" s="602"/>
      <c r="Z732" s="628"/>
      <c r="AG732" s="602"/>
      <c r="AH732" s="602"/>
      <c r="AI732" s="602"/>
      <c r="AJ732" s="602"/>
      <c r="AK732" s="602"/>
      <c r="AL732" s="602"/>
    </row>
    <row r="733" spans="3:38" ht="15.75" customHeight="1" x14ac:dyDescent="0.25">
      <c r="C733" s="628"/>
      <c r="K733" s="602"/>
      <c r="M733" s="628"/>
      <c r="R733" s="628"/>
      <c r="S733" s="602"/>
      <c r="T733" s="602"/>
      <c r="U733" s="602"/>
      <c r="V733" s="602"/>
      <c r="Z733" s="628"/>
      <c r="AG733" s="602"/>
      <c r="AH733" s="602"/>
      <c r="AI733" s="602"/>
      <c r="AJ733" s="602"/>
      <c r="AK733" s="602"/>
      <c r="AL733" s="602"/>
    </row>
    <row r="734" spans="3:38" ht="15.75" customHeight="1" x14ac:dyDescent="0.25">
      <c r="C734" s="628"/>
      <c r="K734" s="602"/>
      <c r="M734" s="628"/>
      <c r="R734" s="628"/>
      <c r="S734" s="602"/>
      <c r="T734" s="602"/>
      <c r="U734" s="602"/>
      <c r="V734" s="602"/>
      <c r="Z734" s="628"/>
      <c r="AG734" s="602"/>
      <c r="AH734" s="602"/>
      <c r="AI734" s="602"/>
      <c r="AJ734" s="602"/>
      <c r="AK734" s="602"/>
      <c r="AL734" s="602"/>
    </row>
    <row r="735" spans="3:38" ht="15.75" customHeight="1" x14ac:dyDescent="0.25">
      <c r="C735" s="628"/>
      <c r="K735" s="602"/>
      <c r="M735" s="628"/>
      <c r="R735" s="628"/>
      <c r="S735" s="602"/>
      <c r="T735" s="602"/>
      <c r="U735" s="602"/>
      <c r="V735" s="602"/>
      <c r="Z735" s="628"/>
      <c r="AG735" s="602"/>
      <c r="AH735" s="602"/>
      <c r="AI735" s="602"/>
      <c r="AJ735" s="602"/>
      <c r="AK735" s="602"/>
      <c r="AL735" s="602"/>
    </row>
    <row r="736" spans="3:38" ht="15.75" customHeight="1" x14ac:dyDescent="0.25">
      <c r="C736" s="628"/>
      <c r="K736" s="602"/>
      <c r="M736" s="628"/>
      <c r="R736" s="628"/>
      <c r="S736" s="602"/>
      <c r="T736" s="602"/>
      <c r="U736" s="602"/>
      <c r="V736" s="602"/>
      <c r="Z736" s="628"/>
      <c r="AG736" s="602"/>
      <c r="AH736" s="602"/>
      <c r="AI736" s="602"/>
      <c r="AJ736" s="602"/>
      <c r="AK736" s="602"/>
      <c r="AL736" s="602"/>
    </row>
    <row r="737" spans="3:38" ht="15.75" customHeight="1" x14ac:dyDescent="0.25">
      <c r="C737" s="628"/>
      <c r="K737" s="602"/>
      <c r="M737" s="628"/>
      <c r="R737" s="628"/>
      <c r="S737" s="602"/>
      <c r="T737" s="602"/>
      <c r="U737" s="602"/>
      <c r="V737" s="602"/>
      <c r="Z737" s="628"/>
      <c r="AG737" s="602"/>
      <c r="AH737" s="602"/>
      <c r="AI737" s="602"/>
      <c r="AJ737" s="602"/>
      <c r="AK737" s="602"/>
      <c r="AL737" s="602"/>
    </row>
    <row r="738" spans="3:38" ht="15.75" customHeight="1" x14ac:dyDescent="0.25">
      <c r="C738" s="628"/>
      <c r="K738" s="602"/>
      <c r="M738" s="628"/>
      <c r="R738" s="628"/>
      <c r="S738" s="602"/>
      <c r="T738" s="602"/>
      <c r="U738" s="602"/>
      <c r="V738" s="602"/>
      <c r="Z738" s="628"/>
      <c r="AG738" s="602"/>
      <c r="AH738" s="602"/>
      <c r="AI738" s="602"/>
      <c r="AJ738" s="602"/>
      <c r="AK738" s="602"/>
      <c r="AL738" s="602"/>
    </row>
    <row r="739" spans="3:38" ht="15.75" customHeight="1" x14ac:dyDescent="0.25">
      <c r="C739" s="628"/>
      <c r="K739" s="602"/>
      <c r="M739" s="628"/>
      <c r="R739" s="628"/>
      <c r="S739" s="602"/>
      <c r="T739" s="602"/>
      <c r="U739" s="602"/>
      <c r="V739" s="602"/>
      <c r="Z739" s="628"/>
      <c r="AG739" s="602"/>
      <c r="AH739" s="602"/>
      <c r="AI739" s="602"/>
      <c r="AJ739" s="602"/>
      <c r="AK739" s="602"/>
      <c r="AL739" s="602"/>
    </row>
    <row r="740" spans="3:38" ht="15.75" customHeight="1" x14ac:dyDescent="0.25">
      <c r="C740" s="628"/>
      <c r="K740" s="602"/>
      <c r="M740" s="628"/>
      <c r="R740" s="628"/>
      <c r="S740" s="602"/>
      <c r="T740" s="602"/>
      <c r="U740" s="602"/>
      <c r="V740" s="602"/>
      <c r="Z740" s="628"/>
      <c r="AG740" s="602"/>
      <c r="AH740" s="602"/>
      <c r="AI740" s="602"/>
      <c r="AJ740" s="602"/>
      <c r="AK740" s="602"/>
      <c r="AL740" s="602"/>
    </row>
    <row r="741" spans="3:38" ht="15.75" customHeight="1" x14ac:dyDescent="0.25">
      <c r="C741" s="628"/>
      <c r="K741" s="602"/>
      <c r="M741" s="628"/>
      <c r="R741" s="628"/>
      <c r="S741" s="602"/>
      <c r="T741" s="602"/>
      <c r="U741" s="602"/>
      <c r="V741" s="602"/>
      <c r="Z741" s="628"/>
      <c r="AG741" s="602"/>
      <c r="AH741" s="602"/>
      <c r="AI741" s="602"/>
      <c r="AJ741" s="602"/>
      <c r="AK741" s="602"/>
      <c r="AL741" s="602"/>
    </row>
    <row r="742" spans="3:38" ht="15.75" customHeight="1" x14ac:dyDescent="0.25">
      <c r="C742" s="628"/>
      <c r="K742" s="602"/>
      <c r="M742" s="628"/>
      <c r="R742" s="628"/>
      <c r="S742" s="602"/>
      <c r="T742" s="602"/>
      <c r="U742" s="602"/>
      <c r="V742" s="602"/>
      <c r="Z742" s="628"/>
      <c r="AG742" s="602"/>
      <c r="AH742" s="602"/>
      <c r="AI742" s="602"/>
      <c r="AJ742" s="602"/>
      <c r="AK742" s="602"/>
      <c r="AL742" s="602"/>
    </row>
    <row r="743" spans="3:38" ht="15.75" customHeight="1" x14ac:dyDescent="0.25">
      <c r="C743" s="628"/>
      <c r="K743" s="602"/>
      <c r="M743" s="628"/>
      <c r="R743" s="628"/>
      <c r="S743" s="602"/>
      <c r="T743" s="602"/>
      <c r="U743" s="602"/>
      <c r="V743" s="602"/>
      <c r="Z743" s="628"/>
      <c r="AG743" s="602"/>
      <c r="AH743" s="602"/>
      <c r="AI743" s="602"/>
      <c r="AJ743" s="602"/>
      <c r="AK743" s="602"/>
      <c r="AL743" s="602"/>
    </row>
    <row r="744" spans="3:38" ht="15.75" customHeight="1" x14ac:dyDescent="0.25">
      <c r="C744" s="628"/>
      <c r="K744" s="602"/>
      <c r="M744" s="628"/>
      <c r="R744" s="628"/>
      <c r="S744" s="602"/>
      <c r="T744" s="602"/>
      <c r="U744" s="602"/>
      <c r="V744" s="602"/>
      <c r="Z744" s="628"/>
      <c r="AG744" s="602"/>
      <c r="AH744" s="602"/>
      <c r="AI744" s="602"/>
      <c r="AJ744" s="602"/>
      <c r="AK744" s="602"/>
      <c r="AL744" s="602"/>
    </row>
    <row r="745" spans="3:38" ht="15.75" customHeight="1" x14ac:dyDescent="0.25">
      <c r="C745" s="628"/>
      <c r="K745" s="602"/>
      <c r="M745" s="628"/>
      <c r="R745" s="628"/>
      <c r="S745" s="602"/>
      <c r="T745" s="602"/>
      <c r="U745" s="602"/>
      <c r="V745" s="602"/>
      <c r="Z745" s="628"/>
      <c r="AG745" s="602"/>
      <c r="AH745" s="602"/>
      <c r="AI745" s="602"/>
      <c r="AJ745" s="602"/>
      <c r="AK745" s="602"/>
      <c r="AL745" s="602"/>
    </row>
    <row r="746" spans="3:38" ht="15.75" customHeight="1" x14ac:dyDescent="0.25">
      <c r="C746" s="628"/>
      <c r="K746" s="602"/>
      <c r="M746" s="628"/>
      <c r="R746" s="628"/>
      <c r="S746" s="602"/>
      <c r="T746" s="602"/>
      <c r="U746" s="602"/>
      <c r="V746" s="602"/>
      <c r="Z746" s="628"/>
      <c r="AG746" s="602"/>
      <c r="AH746" s="602"/>
      <c r="AI746" s="602"/>
      <c r="AJ746" s="602"/>
      <c r="AK746" s="602"/>
      <c r="AL746" s="602"/>
    </row>
    <row r="747" spans="3:38" ht="15.75" customHeight="1" x14ac:dyDescent="0.25">
      <c r="C747" s="628"/>
      <c r="K747" s="602"/>
      <c r="M747" s="628"/>
      <c r="R747" s="628"/>
      <c r="S747" s="602"/>
      <c r="T747" s="602"/>
      <c r="U747" s="602"/>
      <c r="V747" s="602"/>
      <c r="Z747" s="628"/>
      <c r="AG747" s="602"/>
      <c r="AH747" s="602"/>
      <c r="AI747" s="602"/>
      <c r="AJ747" s="602"/>
      <c r="AK747" s="602"/>
      <c r="AL747" s="602"/>
    </row>
    <row r="748" spans="3:38" ht="15.75" customHeight="1" x14ac:dyDescent="0.25">
      <c r="C748" s="628"/>
      <c r="K748" s="602"/>
      <c r="M748" s="628"/>
      <c r="R748" s="628"/>
      <c r="S748" s="602"/>
      <c r="T748" s="602"/>
      <c r="U748" s="602"/>
      <c r="V748" s="602"/>
      <c r="Z748" s="628"/>
      <c r="AG748" s="602"/>
      <c r="AH748" s="602"/>
      <c r="AI748" s="602"/>
      <c r="AJ748" s="602"/>
      <c r="AK748" s="602"/>
      <c r="AL748" s="602"/>
    </row>
    <row r="749" spans="3:38" ht="15.75" customHeight="1" x14ac:dyDescent="0.25">
      <c r="C749" s="628"/>
      <c r="K749" s="602"/>
      <c r="M749" s="628"/>
      <c r="R749" s="628"/>
      <c r="S749" s="602"/>
      <c r="T749" s="602"/>
      <c r="U749" s="602"/>
      <c r="V749" s="602"/>
      <c r="Z749" s="628"/>
      <c r="AG749" s="602"/>
      <c r="AH749" s="602"/>
      <c r="AI749" s="602"/>
      <c r="AJ749" s="602"/>
      <c r="AK749" s="602"/>
      <c r="AL749" s="602"/>
    </row>
    <row r="750" spans="3:38" ht="15.75" customHeight="1" x14ac:dyDescent="0.25">
      <c r="C750" s="628"/>
      <c r="K750" s="602"/>
      <c r="M750" s="628"/>
      <c r="R750" s="628"/>
      <c r="S750" s="602"/>
      <c r="T750" s="602"/>
      <c r="U750" s="602"/>
      <c r="V750" s="602"/>
      <c r="Z750" s="628"/>
      <c r="AG750" s="602"/>
      <c r="AH750" s="602"/>
      <c r="AI750" s="602"/>
      <c r="AJ750" s="602"/>
      <c r="AK750" s="602"/>
      <c r="AL750" s="602"/>
    </row>
    <row r="751" spans="3:38" ht="15.75" customHeight="1" x14ac:dyDescent="0.25">
      <c r="C751" s="628"/>
      <c r="K751" s="602"/>
      <c r="M751" s="628"/>
      <c r="R751" s="628"/>
      <c r="S751" s="602"/>
      <c r="T751" s="602"/>
      <c r="U751" s="602"/>
      <c r="V751" s="602"/>
      <c r="Z751" s="628"/>
      <c r="AG751" s="602"/>
      <c r="AH751" s="602"/>
      <c r="AI751" s="602"/>
      <c r="AJ751" s="602"/>
      <c r="AK751" s="602"/>
      <c r="AL751" s="602"/>
    </row>
    <row r="752" spans="3:38" ht="15.75" customHeight="1" x14ac:dyDescent="0.25">
      <c r="C752" s="628"/>
      <c r="K752" s="602"/>
      <c r="M752" s="628"/>
      <c r="R752" s="628"/>
      <c r="S752" s="602"/>
      <c r="T752" s="602"/>
      <c r="U752" s="602"/>
      <c r="V752" s="602"/>
      <c r="Z752" s="628"/>
      <c r="AG752" s="602"/>
      <c r="AH752" s="602"/>
      <c r="AI752" s="602"/>
      <c r="AJ752" s="602"/>
      <c r="AK752" s="602"/>
      <c r="AL752" s="602"/>
    </row>
    <row r="753" spans="3:38" ht="15.75" customHeight="1" x14ac:dyDescent="0.25">
      <c r="C753" s="628"/>
      <c r="K753" s="602"/>
      <c r="M753" s="628"/>
      <c r="R753" s="628"/>
      <c r="S753" s="602"/>
      <c r="T753" s="602"/>
      <c r="U753" s="602"/>
      <c r="V753" s="602"/>
      <c r="Z753" s="628"/>
      <c r="AG753" s="602"/>
      <c r="AH753" s="602"/>
      <c r="AI753" s="602"/>
      <c r="AJ753" s="602"/>
      <c r="AK753" s="602"/>
      <c r="AL753" s="602"/>
    </row>
    <row r="754" spans="3:38" ht="15.75" customHeight="1" x14ac:dyDescent="0.25">
      <c r="C754" s="628"/>
      <c r="K754" s="602"/>
      <c r="M754" s="628"/>
      <c r="R754" s="628"/>
      <c r="S754" s="602"/>
      <c r="T754" s="602"/>
      <c r="U754" s="602"/>
      <c r="V754" s="602"/>
      <c r="Z754" s="628"/>
      <c r="AG754" s="602"/>
      <c r="AH754" s="602"/>
      <c r="AI754" s="602"/>
      <c r="AJ754" s="602"/>
      <c r="AK754" s="602"/>
      <c r="AL754" s="602"/>
    </row>
    <row r="755" spans="3:38" ht="15.75" customHeight="1" x14ac:dyDescent="0.25">
      <c r="C755" s="628"/>
      <c r="K755" s="602"/>
      <c r="M755" s="628"/>
      <c r="R755" s="628"/>
      <c r="S755" s="602"/>
      <c r="T755" s="602"/>
      <c r="U755" s="602"/>
      <c r="V755" s="602"/>
      <c r="Z755" s="628"/>
      <c r="AG755" s="602"/>
      <c r="AH755" s="602"/>
      <c r="AI755" s="602"/>
      <c r="AJ755" s="602"/>
      <c r="AK755" s="602"/>
      <c r="AL755" s="602"/>
    </row>
    <row r="756" spans="3:38" ht="15.75" customHeight="1" x14ac:dyDescent="0.25">
      <c r="C756" s="628"/>
      <c r="K756" s="602"/>
      <c r="M756" s="628"/>
      <c r="R756" s="628"/>
      <c r="S756" s="602"/>
      <c r="T756" s="602"/>
      <c r="U756" s="602"/>
      <c r="V756" s="602"/>
      <c r="Z756" s="628"/>
      <c r="AG756" s="602"/>
      <c r="AH756" s="602"/>
      <c r="AI756" s="602"/>
      <c r="AJ756" s="602"/>
      <c r="AK756" s="602"/>
      <c r="AL756" s="602"/>
    </row>
    <row r="757" spans="3:38" ht="15.75" customHeight="1" x14ac:dyDescent="0.25">
      <c r="C757" s="628"/>
      <c r="K757" s="602"/>
      <c r="M757" s="628"/>
      <c r="R757" s="628"/>
      <c r="S757" s="602"/>
      <c r="T757" s="602"/>
      <c r="U757" s="602"/>
      <c r="V757" s="602"/>
      <c r="Z757" s="628"/>
      <c r="AG757" s="602"/>
      <c r="AH757" s="602"/>
      <c r="AI757" s="602"/>
      <c r="AJ757" s="602"/>
      <c r="AK757" s="602"/>
      <c r="AL757" s="602"/>
    </row>
    <row r="758" spans="3:38" ht="15.75" customHeight="1" x14ac:dyDescent="0.25">
      <c r="C758" s="628"/>
      <c r="K758" s="602"/>
      <c r="M758" s="628"/>
      <c r="R758" s="628"/>
      <c r="S758" s="602"/>
      <c r="T758" s="602"/>
      <c r="U758" s="602"/>
      <c r="V758" s="602"/>
      <c r="Z758" s="628"/>
      <c r="AG758" s="602"/>
      <c r="AH758" s="602"/>
      <c r="AI758" s="602"/>
      <c r="AJ758" s="602"/>
      <c r="AK758" s="602"/>
      <c r="AL758" s="602"/>
    </row>
    <row r="759" spans="3:38" ht="15.75" customHeight="1" x14ac:dyDescent="0.25">
      <c r="C759" s="628"/>
      <c r="K759" s="602"/>
      <c r="M759" s="628"/>
      <c r="R759" s="628"/>
      <c r="S759" s="602"/>
      <c r="T759" s="602"/>
      <c r="U759" s="602"/>
      <c r="V759" s="602"/>
      <c r="Z759" s="628"/>
      <c r="AG759" s="602"/>
      <c r="AH759" s="602"/>
      <c r="AI759" s="602"/>
      <c r="AJ759" s="602"/>
      <c r="AK759" s="602"/>
      <c r="AL759" s="602"/>
    </row>
    <row r="760" spans="3:38" ht="15.75" customHeight="1" x14ac:dyDescent="0.25">
      <c r="C760" s="628"/>
      <c r="K760" s="602"/>
      <c r="M760" s="628"/>
      <c r="R760" s="628"/>
      <c r="S760" s="602"/>
      <c r="T760" s="602"/>
      <c r="U760" s="602"/>
      <c r="V760" s="602"/>
      <c r="Z760" s="628"/>
      <c r="AG760" s="602"/>
      <c r="AH760" s="602"/>
      <c r="AI760" s="602"/>
      <c r="AJ760" s="602"/>
      <c r="AK760" s="602"/>
      <c r="AL760" s="602"/>
    </row>
    <row r="761" spans="3:38" ht="15.75" customHeight="1" x14ac:dyDescent="0.25">
      <c r="C761" s="628"/>
      <c r="K761" s="602"/>
      <c r="M761" s="628"/>
      <c r="R761" s="628"/>
      <c r="S761" s="602"/>
      <c r="T761" s="602"/>
      <c r="U761" s="602"/>
      <c r="V761" s="602"/>
      <c r="Z761" s="628"/>
      <c r="AG761" s="602"/>
      <c r="AH761" s="602"/>
      <c r="AI761" s="602"/>
      <c r="AJ761" s="602"/>
      <c r="AK761" s="602"/>
      <c r="AL761" s="602"/>
    </row>
    <row r="762" spans="3:38" ht="15.75" customHeight="1" x14ac:dyDescent="0.25">
      <c r="C762" s="628"/>
      <c r="K762" s="602"/>
      <c r="M762" s="628"/>
      <c r="R762" s="628"/>
      <c r="S762" s="602"/>
      <c r="T762" s="602"/>
      <c r="U762" s="602"/>
      <c r="V762" s="602"/>
      <c r="Z762" s="628"/>
      <c r="AG762" s="602"/>
      <c r="AH762" s="602"/>
      <c r="AI762" s="602"/>
      <c r="AJ762" s="602"/>
      <c r="AK762" s="602"/>
      <c r="AL762" s="602"/>
    </row>
    <row r="763" spans="3:38" ht="15.75" customHeight="1" x14ac:dyDescent="0.25">
      <c r="C763" s="628"/>
      <c r="K763" s="602"/>
      <c r="M763" s="628"/>
      <c r="R763" s="628"/>
      <c r="S763" s="602"/>
      <c r="T763" s="602"/>
      <c r="U763" s="602"/>
      <c r="V763" s="602"/>
      <c r="Z763" s="628"/>
      <c r="AG763" s="602"/>
      <c r="AH763" s="602"/>
      <c r="AI763" s="602"/>
      <c r="AJ763" s="602"/>
      <c r="AK763" s="602"/>
      <c r="AL763" s="602"/>
    </row>
    <row r="764" spans="3:38" ht="15.75" customHeight="1" x14ac:dyDescent="0.25">
      <c r="C764" s="628"/>
      <c r="K764" s="602"/>
      <c r="M764" s="628"/>
      <c r="R764" s="628"/>
      <c r="S764" s="602"/>
      <c r="T764" s="602"/>
      <c r="U764" s="602"/>
      <c r="V764" s="602"/>
      <c r="Z764" s="628"/>
      <c r="AG764" s="602"/>
      <c r="AH764" s="602"/>
      <c r="AI764" s="602"/>
      <c r="AJ764" s="602"/>
      <c r="AK764" s="602"/>
      <c r="AL764" s="602"/>
    </row>
    <row r="765" spans="3:38" ht="15.75" customHeight="1" x14ac:dyDescent="0.25">
      <c r="C765" s="628"/>
      <c r="K765" s="602"/>
      <c r="M765" s="628"/>
      <c r="R765" s="628"/>
      <c r="S765" s="602"/>
      <c r="T765" s="602"/>
      <c r="U765" s="602"/>
      <c r="V765" s="602"/>
      <c r="Z765" s="628"/>
      <c r="AG765" s="602"/>
      <c r="AH765" s="602"/>
      <c r="AI765" s="602"/>
      <c r="AJ765" s="602"/>
      <c r="AK765" s="602"/>
      <c r="AL765" s="602"/>
    </row>
    <row r="766" spans="3:38" ht="15.75" customHeight="1" x14ac:dyDescent="0.25">
      <c r="C766" s="628"/>
      <c r="K766" s="602"/>
      <c r="M766" s="628"/>
      <c r="R766" s="628"/>
      <c r="S766" s="602"/>
      <c r="T766" s="602"/>
      <c r="U766" s="602"/>
      <c r="V766" s="602"/>
      <c r="Z766" s="628"/>
      <c r="AG766" s="602"/>
      <c r="AH766" s="602"/>
      <c r="AI766" s="602"/>
      <c r="AJ766" s="602"/>
      <c r="AK766" s="602"/>
      <c r="AL766" s="602"/>
    </row>
    <row r="767" spans="3:38" ht="15.75" customHeight="1" x14ac:dyDescent="0.25">
      <c r="C767" s="628"/>
      <c r="K767" s="602"/>
      <c r="M767" s="628"/>
      <c r="R767" s="628"/>
      <c r="S767" s="602"/>
      <c r="T767" s="602"/>
      <c r="U767" s="602"/>
      <c r="V767" s="602"/>
      <c r="Z767" s="628"/>
      <c r="AG767" s="602"/>
      <c r="AH767" s="602"/>
      <c r="AI767" s="602"/>
      <c r="AJ767" s="602"/>
      <c r="AK767" s="602"/>
      <c r="AL767" s="602"/>
    </row>
    <row r="768" spans="3:38" ht="15.75" customHeight="1" x14ac:dyDescent="0.25">
      <c r="C768" s="628"/>
      <c r="K768" s="602"/>
      <c r="M768" s="628"/>
      <c r="R768" s="628"/>
      <c r="S768" s="602"/>
      <c r="T768" s="602"/>
      <c r="U768" s="602"/>
      <c r="V768" s="602"/>
      <c r="Z768" s="628"/>
      <c r="AG768" s="602"/>
      <c r="AH768" s="602"/>
      <c r="AI768" s="602"/>
      <c r="AJ768" s="602"/>
      <c r="AK768" s="602"/>
      <c r="AL768" s="602"/>
    </row>
    <row r="769" spans="3:38" ht="15.75" customHeight="1" x14ac:dyDescent="0.25">
      <c r="C769" s="628"/>
      <c r="K769" s="602"/>
      <c r="M769" s="628"/>
      <c r="R769" s="628"/>
      <c r="S769" s="602"/>
      <c r="T769" s="602"/>
      <c r="U769" s="602"/>
      <c r="V769" s="602"/>
      <c r="Z769" s="628"/>
      <c r="AG769" s="602"/>
      <c r="AH769" s="602"/>
      <c r="AI769" s="602"/>
      <c r="AJ769" s="602"/>
      <c r="AK769" s="602"/>
      <c r="AL769" s="602"/>
    </row>
    <row r="770" spans="3:38" ht="15.75" customHeight="1" x14ac:dyDescent="0.25">
      <c r="C770" s="628"/>
      <c r="K770" s="602"/>
      <c r="M770" s="628"/>
      <c r="R770" s="628"/>
      <c r="S770" s="602"/>
      <c r="T770" s="602"/>
      <c r="U770" s="602"/>
      <c r="V770" s="602"/>
      <c r="Z770" s="628"/>
      <c r="AG770" s="602"/>
      <c r="AH770" s="602"/>
      <c r="AI770" s="602"/>
      <c r="AJ770" s="602"/>
      <c r="AK770" s="602"/>
      <c r="AL770" s="602"/>
    </row>
    <row r="771" spans="3:38" ht="15.75" customHeight="1" x14ac:dyDescent="0.25">
      <c r="C771" s="628"/>
      <c r="K771" s="602"/>
      <c r="M771" s="628"/>
      <c r="R771" s="628"/>
      <c r="S771" s="602"/>
      <c r="T771" s="602"/>
      <c r="U771" s="602"/>
      <c r="V771" s="602"/>
      <c r="Z771" s="628"/>
      <c r="AG771" s="602"/>
      <c r="AH771" s="602"/>
      <c r="AI771" s="602"/>
      <c r="AJ771" s="602"/>
      <c r="AK771" s="602"/>
      <c r="AL771" s="602"/>
    </row>
    <row r="772" spans="3:38" ht="15.75" customHeight="1" x14ac:dyDescent="0.25">
      <c r="C772" s="628"/>
      <c r="K772" s="602"/>
      <c r="M772" s="628"/>
      <c r="R772" s="628"/>
      <c r="S772" s="602"/>
      <c r="T772" s="602"/>
      <c r="U772" s="602"/>
      <c r="V772" s="602"/>
      <c r="Z772" s="628"/>
      <c r="AG772" s="602"/>
      <c r="AH772" s="602"/>
      <c r="AI772" s="602"/>
      <c r="AJ772" s="602"/>
      <c r="AK772" s="602"/>
      <c r="AL772" s="602"/>
    </row>
    <row r="773" spans="3:38" ht="15.75" customHeight="1" x14ac:dyDescent="0.25">
      <c r="C773" s="628"/>
      <c r="K773" s="602"/>
      <c r="M773" s="628"/>
      <c r="R773" s="628"/>
      <c r="S773" s="602"/>
      <c r="T773" s="602"/>
      <c r="U773" s="602"/>
      <c r="V773" s="602"/>
      <c r="Z773" s="628"/>
      <c r="AG773" s="602"/>
      <c r="AH773" s="602"/>
      <c r="AI773" s="602"/>
      <c r="AJ773" s="602"/>
      <c r="AK773" s="602"/>
      <c r="AL773" s="602"/>
    </row>
    <row r="774" spans="3:38" ht="15.75" customHeight="1" x14ac:dyDescent="0.25">
      <c r="C774" s="628"/>
      <c r="K774" s="602"/>
      <c r="M774" s="628"/>
      <c r="R774" s="628"/>
      <c r="S774" s="602"/>
      <c r="T774" s="602"/>
      <c r="U774" s="602"/>
      <c r="V774" s="602"/>
      <c r="Z774" s="628"/>
      <c r="AG774" s="602"/>
      <c r="AH774" s="602"/>
      <c r="AI774" s="602"/>
      <c r="AJ774" s="602"/>
      <c r="AK774" s="602"/>
      <c r="AL774" s="602"/>
    </row>
    <row r="775" spans="3:38" ht="15.75" customHeight="1" x14ac:dyDescent="0.25">
      <c r="C775" s="628"/>
      <c r="K775" s="602"/>
      <c r="M775" s="628"/>
      <c r="R775" s="628"/>
      <c r="S775" s="602"/>
      <c r="T775" s="602"/>
      <c r="U775" s="602"/>
      <c r="V775" s="602"/>
      <c r="Z775" s="628"/>
      <c r="AG775" s="602"/>
      <c r="AH775" s="602"/>
      <c r="AI775" s="602"/>
      <c r="AJ775" s="602"/>
      <c r="AK775" s="602"/>
      <c r="AL775" s="602"/>
    </row>
    <row r="776" spans="3:38" ht="15.75" customHeight="1" x14ac:dyDescent="0.25">
      <c r="C776" s="628"/>
      <c r="K776" s="602"/>
      <c r="M776" s="628"/>
      <c r="R776" s="628"/>
      <c r="S776" s="602"/>
      <c r="T776" s="602"/>
      <c r="U776" s="602"/>
      <c r="V776" s="602"/>
      <c r="Z776" s="628"/>
      <c r="AG776" s="602"/>
      <c r="AH776" s="602"/>
      <c r="AI776" s="602"/>
      <c r="AJ776" s="602"/>
      <c r="AK776" s="602"/>
      <c r="AL776" s="602"/>
    </row>
    <row r="777" spans="3:38" ht="15.75" customHeight="1" x14ac:dyDescent="0.25">
      <c r="C777" s="628"/>
      <c r="K777" s="602"/>
      <c r="M777" s="628"/>
      <c r="R777" s="628"/>
      <c r="S777" s="602"/>
      <c r="T777" s="602"/>
      <c r="U777" s="602"/>
      <c r="V777" s="602"/>
      <c r="Z777" s="628"/>
      <c r="AG777" s="602"/>
      <c r="AH777" s="602"/>
      <c r="AI777" s="602"/>
      <c r="AJ777" s="602"/>
      <c r="AK777" s="602"/>
      <c r="AL777" s="602"/>
    </row>
    <row r="778" spans="3:38" ht="15.75" customHeight="1" x14ac:dyDescent="0.25">
      <c r="C778" s="628"/>
      <c r="K778" s="602"/>
      <c r="M778" s="628"/>
      <c r="R778" s="628"/>
      <c r="S778" s="602"/>
      <c r="T778" s="602"/>
      <c r="U778" s="602"/>
      <c r="V778" s="602"/>
      <c r="Z778" s="628"/>
      <c r="AG778" s="602"/>
      <c r="AH778" s="602"/>
      <c r="AI778" s="602"/>
      <c r="AJ778" s="602"/>
      <c r="AK778" s="602"/>
      <c r="AL778" s="602"/>
    </row>
    <row r="779" spans="3:38" ht="15.75" customHeight="1" x14ac:dyDescent="0.25">
      <c r="C779" s="628"/>
      <c r="K779" s="602"/>
      <c r="M779" s="628"/>
      <c r="R779" s="628"/>
      <c r="S779" s="602"/>
      <c r="T779" s="602"/>
      <c r="U779" s="602"/>
      <c r="V779" s="602"/>
      <c r="Z779" s="628"/>
      <c r="AG779" s="602"/>
      <c r="AH779" s="602"/>
      <c r="AI779" s="602"/>
      <c r="AJ779" s="602"/>
      <c r="AK779" s="602"/>
      <c r="AL779" s="602"/>
    </row>
    <row r="780" spans="3:38" ht="15.75" customHeight="1" x14ac:dyDescent="0.25">
      <c r="C780" s="628"/>
      <c r="K780" s="602"/>
      <c r="M780" s="628"/>
      <c r="R780" s="628"/>
      <c r="S780" s="602"/>
      <c r="T780" s="602"/>
      <c r="U780" s="602"/>
      <c r="V780" s="602"/>
      <c r="Z780" s="628"/>
      <c r="AG780" s="602"/>
      <c r="AH780" s="602"/>
      <c r="AI780" s="602"/>
      <c r="AJ780" s="602"/>
      <c r="AK780" s="602"/>
      <c r="AL780" s="602"/>
    </row>
    <row r="781" spans="3:38" ht="15.75" customHeight="1" x14ac:dyDescent="0.25">
      <c r="C781" s="628"/>
      <c r="K781" s="602"/>
      <c r="M781" s="628"/>
      <c r="R781" s="628"/>
      <c r="S781" s="602"/>
      <c r="T781" s="602"/>
      <c r="U781" s="602"/>
      <c r="V781" s="602"/>
      <c r="Z781" s="628"/>
      <c r="AG781" s="602"/>
      <c r="AH781" s="602"/>
      <c r="AI781" s="602"/>
      <c r="AJ781" s="602"/>
      <c r="AK781" s="602"/>
      <c r="AL781" s="602"/>
    </row>
    <row r="782" spans="3:38" ht="15.75" customHeight="1" x14ac:dyDescent="0.25">
      <c r="C782" s="628"/>
      <c r="K782" s="602"/>
      <c r="M782" s="628"/>
      <c r="R782" s="628"/>
      <c r="S782" s="602"/>
      <c r="T782" s="602"/>
      <c r="U782" s="602"/>
      <c r="V782" s="602"/>
      <c r="Z782" s="628"/>
      <c r="AG782" s="602"/>
      <c r="AH782" s="602"/>
      <c r="AI782" s="602"/>
      <c r="AJ782" s="602"/>
      <c r="AK782" s="602"/>
      <c r="AL782" s="602"/>
    </row>
    <row r="783" spans="3:38" ht="15.75" customHeight="1" x14ac:dyDescent="0.25">
      <c r="C783" s="628"/>
      <c r="K783" s="602"/>
      <c r="M783" s="628"/>
      <c r="R783" s="628"/>
      <c r="S783" s="602"/>
      <c r="T783" s="602"/>
      <c r="U783" s="602"/>
      <c r="V783" s="602"/>
      <c r="Z783" s="628"/>
      <c r="AG783" s="602"/>
      <c r="AH783" s="602"/>
      <c r="AI783" s="602"/>
      <c r="AJ783" s="602"/>
      <c r="AK783" s="602"/>
      <c r="AL783" s="602"/>
    </row>
    <row r="784" spans="3:38" ht="15.75" customHeight="1" x14ac:dyDescent="0.25">
      <c r="C784" s="628"/>
      <c r="K784" s="602"/>
      <c r="M784" s="628"/>
      <c r="R784" s="628"/>
      <c r="S784" s="602"/>
      <c r="T784" s="602"/>
      <c r="U784" s="602"/>
      <c r="V784" s="602"/>
      <c r="Z784" s="628"/>
      <c r="AG784" s="602"/>
      <c r="AH784" s="602"/>
      <c r="AI784" s="602"/>
      <c r="AJ784" s="602"/>
      <c r="AK784" s="602"/>
      <c r="AL784" s="602"/>
    </row>
    <row r="785" spans="3:38" ht="15.75" customHeight="1" x14ac:dyDescent="0.25">
      <c r="C785" s="628"/>
      <c r="K785" s="602"/>
      <c r="M785" s="628"/>
      <c r="R785" s="628"/>
      <c r="S785" s="602"/>
      <c r="T785" s="602"/>
      <c r="U785" s="602"/>
      <c r="V785" s="602"/>
      <c r="Z785" s="628"/>
      <c r="AG785" s="602"/>
      <c r="AH785" s="602"/>
      <c r="AI785" s="602"/>
      <c r="AJ785" s="602"/>
      <c r="AK785" s="602"/>
      <c r="AL785" s="602"/>
    </row>
    <row r="786" spans="3:38" ht="15.75" customHeight="1" x14ac:dyDescent="0.25">
      <c r="C786" s="628"/>
      <c r="K786" s="602"/>
      <c r="M786" s="628"/>
      <c r="R786" s="628"/>
      <c r="S786" s="602"/>
      <c r="T786" s="602"/>
      <c r="U786" s="602"/>
      <c r="V786" s="602"/>
      <c r="Z786" s="628"/>
      <c r="AG786" s="602"/>
      <c r="AH786" s="602"/>
      <c r="AI786" s="602"/>
      <c r="AJ786" s="602"/>
      <c r="AK786" s="602"/>
      <c r="AL786" s="602"/>
    </row>
    <row r="787" spans="3:38" ht="15.75" customHeight="1" x14ac:dyDescent="0.25">
      <c r="C787" s="628"/>
      <c r="K787" s="602"/>
      <c r="M787" s="628"/>
      <c r="R787" s="628"/>
      <c r="S787" s="602"/>
      <c r="T787" s="602"/>
      <c r="U787" s="602"/>
      <c r="V787" s="602"/>
      <c r="Z787" s="628"/>
      <c r="AG787" s="602"/>
      <c r="AH787" s="602"/>
      <c r="AI787" s="602"/>
      <c r="AJ787" s="602"/>
      <c r="AK787" s="602"/>
      <c r="AL787" s="602"/>
    </row>
    <row r="788" spans="3:38" ht="15.75" customHeight="1" x14ac:dyDescent="0.25">
      <c r="C788" s="628"/>
      <c r="K788" s="602"/>
      <c r="M788" s="628"/>
      <c r="R788" s="628"/>
      <c r="S788" s="602"/>
      <c r="T788" s="602"/>
      <c r="U788" s="602"/>
      <c r="V788" s="602"/>
      <c r="Z788" s="628"/>
      <c r="AG788" s="602"/>
      <c r="AH788" s="602"/>
      <c r="AI788" s="602"/>
      <c r="AJ788" s="602"/>
      <c r="AK788" s="602"/>
      <c r="AL788" s="602"/>
    </row>
    <row r="789" spans="3:38" ht="15.75" customHeight="1" x14ac:dyDescent="0.25">
      <c r="C789" s="628"/>
      <c r="K789" s="602"/>
      <c r="M789" s="628"/>
      <c r="R789" s="628"/>
      <c r="S789" s="602"/>
      <c r="T789" s="602"/>
      <c r="U789" s="602"/>
      <c r="V789" s="602"/>
      <c r="Z789" s="628"/>
      <c r="AG789" s="602"/>
      <c r="AH789" s="602"/>
      <c r="AI789" s="602"/>
      <c r="AJ789" s="602"/>
      <c r="AK789" s="602"/>
      <c r="AL789" s="602"/>
    </row>
    <row r="790" spans="3:38" ht="15.75" customHeight="1" x14ac:dyDescent="0.25">
      <c r="C790" s="628"/>
      <c r="K790" s="602"/>
      <c r="M790" s="628"/>
      <c r="R790" s="628"/>
      <c r="S790" s="602"/>
      <c r="T790" s="602"/>
      <c r="U790" s="602"/>
      <c r="V790" s="602"/>
      <c r="Z790" s="628"/>
      <c r="AG790" s="602"/>
      <c r="AH790" s="602"/>
      <c r="AI790" s="602"/>
      <c r="AJ790" s="602"/>
      <c r="AK790" s="602"/>
      <c r="AL790" s="602"/>
    </row>
    <row r="791" spans="3:38" ht="15.75" customHeight="1" x14ac:dyDescent="0.25">
      <c r="C791" s="628"/>
      <c r="K791" s="602"/>
      <c r="M791" s="628"/>
      <c r="R791" s="628"/>
      <c r="S791" s="602"/>
      <c r="T791" s="602"/>
      <c r="U791" s="602"/>
      <c r="V791" s="602"/>
      <c r="Z791" s="628"/>
      <c r="AG791" s="602"/>
      <c r="AH791" s="602"/>
      <c r="AI791" s="602"/>
      <c r="AJ791" s="602"/>
      <c r="AK791" s="602"/>
      <c r="AL791" s="602"/>
    </row>
    <row r="792" spans="3:38" ht="15.75" customHeight="1" x14ac:dyDescent="0.25">
      <c r="C792" s="628"/>
      <c r="K792" s="602"/>
      <c r="M792" s="628"/>
      <c r="R792" s="628"/>
      <c r="S792" s="602"/>
      <c r="T792" s="602"/>
      <c r="U792" s="602"/>
      <c r="V792" s="602"/>
      <c r="Z792" s="628"/>
      <c r="AG792" s="602"/>
      <c r="AH792" s="602"/>
      <c r="AI792" s="602"/>
      <c r="AJ792" s="602"/>
      <c r="AK792" s="602"/>
      <c r="AL792" s="602"/>
    </row>
    <row r="793" spans="3:38" ht="15.75" customHeight="1" x14ac:dyDescent="0.25">
      <c r="C793" s="628"/>
      <c r="K793" s="602"/>
      <c r="M793" s="628"/>
      <c r="R793" s="628"/>
      <c r="S793" s="602"/>
      <c r="T793" s="602"/>
      <c r="U793" s="602"/>
      <c r="V793" s="602"/>
      <c r="Z793" s="628"/>
      <c r="AG793" s="602"/>
      <c r="AH793" s="602"/>
      <c r="AI793" s="602"/>
      <c r="AJ793" s="602"/>
      <c r="AK793" s="602"/>
      <c r="AL793" s="602"/>
    </row>
    <row r="794" spans="3:38" ht="15.75" customHeight="1" x14ac:dyDescent="0.25">
      <c r="C794" s="628"/>
      <c r="K794" s="602"/>
      <c r="M794" s="628"/>
      <c r="R794" s="628"/>
      <c r="S794" s="602"/>
      <c r="T794" s="602"/>
      <c r="U794" s="602"/>
      <c r="V794" s="602"/>
      <c r="Z794" s="628"/>
      <c r="AG794" s="602"/>
      <c r="AH794" s="602"/>
      <c r="AI794" s="602"/>
      <c r="AJ794" s="602"/>
      <c r="AK794" s="602"/>
      <c r="AL794" s="602"/>
    </row>
    <row r="795" spans="3:38" ht="15.75" customHeight="1" x14ac:dyDescent="0.25">
      <c r="C795" s="628"/>
      <c r="K795" s="602"/>
      <c r="M795" s="628"/>
      <c r="R795" s="628"/>
      <c r="S795" s="602"/>
      <c r="T795" s="602"/>
      <c r="U795" s="602"/>
      <c r="V795" s="602"/>
      <c r="Z795" s="628"/>
      <c r="AG795" s="602"/>
      <c r="AH795" s="602"/>
      <c r="AI795" s="602"/>
      <c r="AJ795" s="602"/>
      <c r="AK795" s="602"/>
      <c r="AL795" s="602"/>
    </row>
    <row r="796" spans="3:38" ht="15.75" customHeight="1" x14ac:dyDescent="0.25">
      <c r="C796" s="628"/>
      <c r="K796" s="602"/>
      <c r="M796" s="628"/>
      <c r="R796" s="628"/>
      <c r="S796" s="602"/>
      <c r="T796" s="602"/>
      <c r="U796" s="602"/>
      <c r="V796" s="602"/>
      <c r="Z796" s="628"/>
      <c r="AG796" s="602"/>
      <c r="AH796" s="602"/>
      <c r="AI796" s="602"/>
      <c r="AJ796" s="602"/>
      <c r="AK796" s="602"/>
      <c r="AL796" s="602"/>
    </row>
    <row r="797" spans="3:38" ht="15.75" customHeight="1" x14ac:dyDescent="0.25">
      <c r="C797" s="628"/>
      <c r="K797" s="602"/>
      <c r="M797" s="628"/>
      <c r="R797" s="628"/>
      <c r="S797" s="602"/>
      <c r="T797" s="602"/>
      <c r="U797" s="602"/>
      <c r="V797" s="602"/>
      <c r="Z797" s="628"/>
      <c r="AG797" s="602"/>
      <c r="AH797" s="602"/>
      <c r="AI797" s="602"/>
      <c r="AJ797" s="602"/>
      <c r="AK797" s="602"/>
      <c r="AL797" s="602"/>
    </row>
    <row r="798" spans="3:38" ht="15.75" customHeight="1" x14ac:dyDescent="0.25">
      <c r="C798" s="628"/>
      <c r="K798" s="602"/>
      <c r="M798" s="628"/>
      <c r="R798" s="628"/>
      <c r="S798" s="602"/>
      <c r="T798" s="602"/>
      <c r="U798" s="602"/>
      <c r="V798" s="602"/>
      <c r="Z798" s="628"/>
      <c r="AG798" s="602"/>
      <c r="AH798" s="602"/>
      <c r="AI798" s="602"/>
      <c r="AJ798" s="602"/>
      <c r="AK798" s="602"/>
      <c r="AL798" s="602"/>
    </row>
    <row r="799" spans="3:38" ht="15.75" customHeight="1" x14ac:dyDescent="0.25">
      <c r="C799" s="628"/>
      <c r="K799" s="602"/>
      <c r="M799" s="628"/>
      <c r="R799" s="628"/>
      <c r="S799" s="602"/>
      <c r="T799" s="602"/>
      <c r="U799" s="602"/>
      <c r="V799" s="602"/>
      <c r="Z799" s="628"/>
      <c r="AG799" s="602"/>
      <c r="AH799" s="602"/>
      <c r="AI799" s="602"/>
      <c r="AJ799" s="602"/>
      <c r="AK799" s="602"/>
      <c r="AL799" s="602"/>
    </row>
    <row r="800" spans="3:38" ht="15.75" customHeight="1" x14ac:dyDescent="0.25">
      <c r="C800" s="628"/>
      <c r="K800" s="602"/>
      <c r="M800" s="628"/>
      <c r="R800" s="628"/>
      <c r="S800" s="602"/>
      <c r="T800" s="602"/>
      <c r="U800" s="602"/>
      <c r="V800" s="602"/>
      <c r="Z800" s="628"/>
      <c r="AG800" s="602"/>
      <c r="AH800" s="602"/>
      <c r="AI800" s="602"/>
      <c r="AJ800" s="602"/>
      <c r="AK800" s="602"/>
      <c r="AL800" s="602"/>
    </row>
    <row r="801" spans="3:38" ht="15.75" customHeight="1" x14ac:dyDescent="0.25">
      <c r="C801" s="628"/>
      <c r="K801" s="602"/>
      <c r="M801" s="628"/>
      <c r="R801" s="628"/>
      <c r="S801" s="602"/>
      <c r="T801" s="602"/>
      <c r="U801" s="602"/>
      <c r="V801" s="602"/>
      <c r="Z801" s="628"/>
      <c r="AG801" s="602"/>
      <c r="AH801" s="602"/>
      <c r="AI801" s="602"/>
      <c r="AJ801" s="602"/>
      <c r="AK801" s="602"/>
      <c r="AL801" s="602"/>
    </row>
    <row r="802" spans="3:38" ht="15.75" customHeight="1" x14ac:dyDescent="0.25">
      <c r="C802" s="628"/>
      <c r="K802" s="602"/>
      <c r="M802" s="628"/>
      <c r="R802" s="628"/>
      <c r="S802" s="602"/>
      <c r="T802" s="602"/>
      <c r="U802" s="602"/>
      <c r="V802" s="602"/>
      <c r="Z802" s="628"/>
      <c r="AG802" s="602"/>
      <c r="AH802" s="602"/>
      <c r="AI802" s="602"/>
      <c r="AJ802" s="602"/>
      <c r="AK802" s="602"/>
      <c r="AL802" s="602"/>
    </row>
    <row r="803" spans="3:38" ht="15.75" customHeight="1" x14ac:dyDescent="0.25">
      <c r="C803" s="628"/>
      <c r="K803" s="602"/>
      <c r="M803" s="628"/>
      <c r="R803" s="628"/>
      <c r="S803" s="602"/>
      <c r="T803" s="602"/>
      <c r="U803" s="602"/>
      <c r="V803" s="602"/>
      <c r="Z803" s="628"/>
      <c r="AG803" s="602"/>
      <c r="AH803" s="602"/>
      <c r="AI803" s="602"/>
      <c r="AJ803" s="602"/>
      <c r="AK803" s="602"/>
      <c r="AL803" s="602"/>
    </row>
    <row r="804" spans="3:38" ht="15.75" customHeight="1" x14ac:dyDescent="0.25">
      <c r="C804" s="628"/>
      <c r="K804" s="602"/>
      <c r="M804" s="628"/>
      <c r="R804" s="628"/>
      <c r="S804" s="602"/>
      <c r="T804" s="602"/>
      <c r="U804" s="602"/>
      <c r="V804" s="602"/>
      <c r="Z804" s="628"/>
      <c r="AG804" s="602"/>
      <c r="AH804" s="602"/>
      <c r="AI804" s="602"/>
      <c r="AJ804" s="602"/>
      <c r="AK804" s="602"/>
      <c r="AL804" s="602"/>
    </row>
    <row r="805" spans="3:38" ht="15.75" customHeight="1" x14ac:dyDescent="0.25">
      <c r="C805" s="628"/>
      <c r="K805" s="602"/>
      <c r="M805" s="628"/>
      <c r="R805" s="628"/>
      <c r="S805" s="602"/>
      <c r="T805" s="602"/>
      <c r="U805" s="602"/>
      <c r="V805" s="602"/>
      <c r="Z805" s="628"/>
      <c r="AG805" s="602"/>
      <c r="AH805" s="602"/>
      <c r="AI805" s="602"/>
      <c r="AJ805" s="602"/>
      <c r="AK805" s="602"/>
      <c r="AL805" s="602"/>
    </row>
    <row r="806" spans="3:38" ht="15.75" customHeight="1" x14ac:dyDescent="0.25">
      <c r="C806" s="628"/>
      <c r="K806" s="602"/>
      <c r="M806" s="628"/>
      <c r="R806" s="628"/>
      <c r="S806" s="602"/>
      <c r="T806" s="602"/>
      <c r="U806" s="602"/>
      <c r="V806" s="602"/>
      <c r="Z806" s="628"/>
      <c r="AG806" s="602"/>
      <c r="AH806" s="602"/>
      <c r="AI806" s="602"/>
      <c r="AJ806" s="602"/>
      <c r="AK806" s="602"/>
      <c r="AL806" s="602"/>
    </row>
    <row r="807" spans="3:38" ht="15.75" customHeight="1" x14ac:dyDescent="0.25">
      <c r="C807" s="628"/>
      <c r="K807" s="602"/>
      <c r="M807" s="628"/>
      <c r="R807" s="628"/>
      <c r="S807" s="602"/>
      <c r="T807" s="602"/>
      <c r="U807" s="602"/>
      <c r="V807" s="602"/>
      <c r="Z807" s="628"/>
      <c r="AG807" s="602"/>
      <c r="AH807" s="602"/>
      <c r="AI807" s="602"/>
      <c r="AJ807" s="602"/>
      <c r="AK807" s="602"/>
      <c r="AL807" s="602"/>
    </row>
    <row r="808" spans="3:38" ht="15.75" customHeight="1" x14ac:dyDescent="0.25">
      <c r="C808" s="628"/>
      <c r="K808" s="602"/>
      <c r="M808" s="628"/>
      <c r="R808" s="628"/>
      <c r="S808" s="602"/>
      <c r="T808" s="602"/>
      <c r="U808" s="602"/>
      <c r="V808" s="602"/>
      <c r="Z808" s="628"/>
      <c r="AG808" s="602"/>
      <c r="AH808" s="602"/>
      <c r="AI808" s="602"/>
      <c r="AJ808" s="602"/>
      <c r="AK808" s="602"/>
      <c r="AL808" s="602"/>
    </row>
    <row r="809" spans="3:38" ht="15.75" customHeight="1" x14ac:dyDescent="0.25">
      <c r="C809" s="628"/>
      <c r="K809" s="602"/>
      <c r="M809" s="628"/>
      <c r="R809" s="628"/>
      <c r="S809" s="602"/>
      <c r="T809" s="602"/>
      <c r="U809" s="602"/>
      <c r="V809" s="602"/>
      <c r="Z809" s="628"/>
      <c r="AG809" s="602"/>
      <c r="AH809" s="602"/>
      <c r="AI809" s="602"/>
      <c r="AJ809" s="602"/>
      <c r="AK809" s="602"/>
      <c r="AL809" s="602"/>
    </row>
    <row r="810" spans="3:38" ht="15.75" customHeight="1" x14ac:dyDescent="0.25">
      <c r="C810" s="628"/>
      <c r="K810" s="602"/>
      <c r="M810" s="628"/>
      <c r="R810" s="628"/>
      <c r="S810" s="602"/>
      <c r="T810" s="602"/>
      <c r="U810" s="602"/>
      <c r="V810" s="602"/>
      <c r="Z810" s="628"/>
      <c r="AG810" s="602"/>
      <c r="AH810" s="602"/>
      <c r="AI810" s="602"/>
      <c r="AJ810" s="602"/>
      <c r="AK810" s="602"/>
      <c r="AL810" s="602"/>
    </row>
    <row r="811" spans="3:38" ht="15.75" customHeight="1" x14ac:dyDescent="0.25">
      <c r="C811" s="628"/>
      <c r="K811" s="602"/>
      <c r="M811" s="628"/>
      <c r="R811" s="628"/>
      <c r="S811" s="602"/>
      <c r="T811" s="602"/>
      <c r="U811" s="602"/>
      <c r="V811" s="602"/>
      <c r="Z811" s="628"/>
      <c r="AG811" s="602"/>
      <c r="AH811" s="602"/>
      <c r="AI811" s="602"/>
      <c r="AJ811" s="602"/>
      <c r="AK811" s="602"/>
      <c r="AL811" s="602"/>
    </row>
    <row r="812" spans="3:38" ht="15.75" customHeight="1" x14ac:dyDescent="0.25">
      <c r="C812" s="628"/>
      <c r="K812" s="602"/>
      <c r="M812" s="628"/>
      <c r="R812" s="628"/>
      <c r="S812" s="602"/>
      <c r="T812" s="602"/>
      <c r="U812" s="602"/>
      <c r="V812" s="602"/>
      <c r="Z812" s="628"/>
      <c r="AG812" s="602"/>
      <c r="AH812" s="602"/>
      <c r="AI812" s="602"/>
      <c r="AJ812" s="602"/>
      <c r="AK812" s="602"/>
      <c r="AL812" s="602"/>
    </row>
    <row r="813" spans="3:38" ht="15.75" customHeight="1" x14ac:dyDescent="0.25">
      <c r="C813" s="628"/>
      <c r="K813" s="602"/>
      <c r="M813" s="628"/>
      <c r="R813" s="628"/>
      <c r="S813" s="602"/>
      <c r="T813" s="602"/>
      <c r="U813" s="602"/>
      <c r="V813" s="602"/>
      <c r="Z813" s="628"/>
      <c r="AG813" s="602"/>
      <c r="AH813" s="602"/>
      <c r="AI813" s="602"/>
      <c r="AJ813" s="602"/>
      <c r="AK813" s="602"/>
      <c r="AL813" s="602"/>
    </row>
    <row r="814" spans="3:38" ht="15.75" customHeight="1" x14ac:dyDescent="0.25">
      <c r="C814" s="628"/>
      <c r="K814" s="602"/>
      <c r="M814" s="628"/>
      <c r="R814" s="628"/>
      <c r="S814" s="602"/>
      <c r="T814" s="602"/>
      <c r="U814" s="602"/>
      <c r="V814" s="602"/>
      <c r="Z814" s="628"/>
      <c r="AG814" s="602"/>
      <c r="AH814" s="602"/>
      <c r="AI814" s="602"/>
      <c r="AJ814" s="602"/>
      <c r="AK814" s="602"/>
      <c r="AL814" s="602"/>
    </row>
    <row r="815" spans="3:38" ht="15.75" customHeight="1" x14ac:dyDescent="0.25">
      <c r="C815" s="628"/>
      <c r="K815" s="602"/>
      <c r="M815" s="628"/>
      <c r="R815" s="628"/>
      <c r="S815" s="602"/>
      <c r="T815" s="602"/>
      <c r="U815" s="602"/>
      <c r="V815" s="602"/>
      <c r="Z815" s="628"/>
      <c r="AG815" s="602"/>
      <c r="AH815" s="602"/>
      <c r="AI815" s="602"/>
      <c r="AJ815" s="602"/>
      <c r="AK815" s="602"/>
      <c r="AL815" s="602"/>
    </row>
    <row r="816" spans="3:38" ht="15.75" customHeight="1" x14ac:dyDescent="0.25">
      <c r="C816" s="628"/>
      <c r="K816" s="602"/>
      <c r="M816" s="628"/>
      <c r="R816" s="628"/>
      <c r="S816" s="602"/>
      <c r="T816" s="602"/>
      <c r="U816" s="602"/>
      <c r="V816" s="602"/>
      <c r="Z816" s="628"/>
      <c r="AG816" s="602"/>
      <c r="AH816" s="602"/>
      <c r="AI816" s="602"/>
      <c r="AJ816" s="602"/>
      <c r="AK816" s="602"/>
      <c r="AL816" s="602"/>
    </row>
    <row r="817" spans="3:38" ht="15.75" customHeight="1" x14ac:dyDescent="0.25">
      <c r="C817" s="628"/>
      <c r="K817" s="602"/>
      <c r="M817" s="628"/>
      <c r="R817" s="628"/>
      <c r="S817" s="602"/>
      <c r="T817" s="602"/>
      <c r="U817" s="602"/>
      <c r="V817" s="602"/>
      <c r="Z817" s="628"/>
      <c r="AG817" s="602"/>
      <c r="AH817" s="602"/>
      <c r="AI817" s="602"/>
      <c r="AJ817" s="602"/>
      <c r="AK817" s="602"/>
      <c r="AL817" s="602"/>
    </row>
    <row r="818" spans="3:38" ht="15.75" customHeight="1" x14ac:dyDescent="0.25">
      <c r="C818" s="628"/>
      <c r="K818" s="602"/>
      <c r="M818" s="628"/>
      <c r="R818" s="628"/>
      <c r="S818" s="602"/>
      <c r="T818" s="602"/>
      <c r="U818" s="602"/>
      <c r="V818" s="602"/>
      <c r="Z818" s="628"/>
      <c r="AG818" s="602"/>
      <c r="AH818" s="602"/>
      <c r="AI818" s="602"/>
      <c r="AJ818" s="602"/>
      <c r="AK818" s="602"/>
      <c r="AL818" s="602"/>
    </row>
    <row r="819" spans="3:38" ht="15.75" customHeight="1" x14ac:dyDescent="0.25">
      <c r="C819" s="628"/>
      <c r="K819" s="602"/>
      <c r="M819" s="628"/>
      <c r="R819" s="628"/>
      <c r="S819" s="602"/>
      <c r="T819" s="602"/>
      <c r="U819" s="602"/>
      <c r="V819" s="602"/>
      <c r="Z819" s="628"/>
      <c r="AG819" s="602"/>
      <c r="AH819" s="602"/>
      <c r="AI819" s="602"/>
      <c r="AJ819" s="602"/>
      <c r="AK819" s="602"/>
      <c r="AL819" s="602"/>
    </row>
    <row r="820" spans="3:38" ht="15.75" customHeight="1" x14ac:dyDescent="0.25">
      <c r="C820" s="628"/>
      <c r="K820" s="602"/>
      <c r="M820" s="628"/>
      <c r="R820" s="628"/>
      <c r="S820" s="602"/>
      <c r="T820" s="602"/>
      <c r="U820" s="602"/>
      <c r="V820" s="602"/>
      <c r="Z820" s="628"/>
      <c r="AG820" s="602"/>
      <c r="AH820" s="602"/>
      <c r="AI820" s="602"/>
      <c r="AJ820" s="602"/>
      <c r="AK820" s="602"/>
      <c r="AL820" s="602"/>
    </row>
    <row r="821" spans="3:38" ht="15.75" customHeight="1" x14ac:dyDescent="0.25">
      <c r="C821" s="628"/>
      <c r="K821" s="602"/>
      <c r="M821" s="628"/>
      <c r="R821" s="628"/>
      <c r="S821" s="602"/>
      <c r="T821" s="602"/>
      <c r="U821" s="602"/>
      <c r="V821" s="602"/>
      <c r="Z821" s="628"/>
      <c r="AG821" s="602"/>
      <c r="AH821" s="602"/>
      <c r="AI821" s="602"/>
      <c r="AJ821" s="602"/>
      <c r="AK821" s="602"/>
      <c r="AL821" s="602"/>
    </row>
    <row r="822" spans="3:38" ht="15.75" customHeight="1" x14ac:dyDescent="0.25">
      <c r="C822" s="628"/>
      <c r="K822" s="602"/>
      <c r="M822" s="628"/>
      <c r="R822" s="628"/>
      <c r="S822" s="602"/>
      <c r="T822" s="602"/>
      <c r="U822" s="602"/>
      <c r="V822" s="602"/>
      <c r="Z822" s="628"/>
      <c r="AG822" s="602"/>
      <c r="AH822" s="602"/>
      <c r="AI822" s="602"/>
      <c r="AJ822" s="602"/>
      <c r="AK822" s="602"/>
      <c r="AL822" s="602"/>
    </row>
    <row r="823" spans="3:38" ht="15.75" customHeight="1" x14ac:dyDescent="0.25">
      <c r="C823" s="628"/>
      <c r="K823" s="602"/>
      <c r="M823" s="628"/>
      <c r="R823" s="628"/>
      <c r="S823" s="602"/>
      <c r="T823" s="602"/>
      <c r="U823" s="602"/>
      <c r="V823" s="602"/>
      <c r="Z823" s="628"/>
      <c r="AG823" s="602"/>
      <c r="AH823" s="602"/>
      <c r="AI823" s="602"/>
      <c r="AJ823" s="602"/>
      <c r="AK823" s="602"/>
      <c r="AL823" s="602"/>
    </row>
    <row r="824" spans="3:38" ht="15.75" customHeight="1" x14ac:dyDescent="0.25">
      <c r="C824" s="628"/>
      <c r="K824" s="602"/>
      <c r="M824" s="628"/>
      <c r="R824" s="628"/>
      <c r="S824" s="602"/>
      <c r="T824" s="602"/>
      <c r="U824" s="602"/>
      <c r="V824" s="602"/>
      <c r="Z824" s="628"/>
      <c r="AG824" s="602"/>
      <c r="AH824" s="602"/>
      <c r="AI824" s="602"/>
      <c r="AJ824" s="602"/>
      <c r="AK824" s="602"/>
      <c r="AL824" s="602"/>
    </row>
    <row r="825" spans="3:38" ht="15.75" customHeight="1" x14ac:dyDescent="0.25">
      <c r="C825" s="628"/>
      <c r="K825" s="602"/>
      <c r="M825" s="628"/>
      <c r="R825" s="628"/>
      <c r="S825" s="602"/>
      <c r="T825" s="602"/>
      <c r="U825" s="602"/>
      <c r="V825" s="602"/>
      <c r="Z825" s="628"/>
      <c r="AG825" s="602"/>
      <c r="AH825" s="602"/>
      <c r="AI825" s="602"/>
      <c r="AJ825" s="602"/>
      <c r="AK825" s="602"/>
      <c r="AL825" s="602"/>
    </row>
    <row r="826" spans="3:38" ht="15.75" customHeight="1" x14ac:dyDescent="0.25">
      <c r="C826" s="628"/>
      <c r="K826" s="602"/>
      <c r="M826" s="628"/>
      <c r="R826" s="628"/>
      <c r="S826" s="602"/>
      <c r="T826" s="602"/>
      <c r="U826" s="602"/>
      <c r="V826" s="602"/>
      <c r="Z826" s="628"/>
      <c r="AG826" s="602"/>
      <c r="AH826" s="602"/>
      <c r="AI826" s="602"/>
      <c r="AJ826" s="602"/>
      <c r="AK826" s="602"/>
      <c r="AL826" s="602"/>
    </row>
    <row r="827" spans="3:38" ht="15.75" customHeight="1" x14ac:dyDescent="0.25">
      <c r="C827" s="628"/>
      <c r="K827" s="602"/>
      <c r="M827" s="628"/>
      <c r="R827" s="628"/>
      <c r="S827" s="602"/>
      <c r="T827" s="602"/>
      <c r="U827" s="602"/>
      <c r="V827" s="602"/>
      <c r="Z827" s="628"/>
      <c r="AG827" s="602"/>
      <c r="AH827" s="602"/>
      <c r="AI827" s="602"/>
      <c r="AJ827" s="602"/>
      <c r="AK827" s="602"/>
      <c r="AL827" s="602"/>
    </row>
    <row r="828" spans="3:38" ht="15.75" customHeight="1" x14ac:dyDescent="0.25">
      <c r="C828" s="628"/>
      <c r="K828" s="602"/>
      <c r="M828" s="628"/>
      <c r="R828" s="628"/>
      <c r="S828" s="602"/>
      <c r="T828" s="602"/>
      <c r="U828" s="602"/>
      <c r="V828" s="602"/>
      <c r="Z828" s="628"/>
      <c r="AG828" s="602"/>
      <c r="AH828" s="602"/>
      <c r="AI828" s="602"/>
      <c r="AJ828" s="602"/>
      <c r="AK828" s="602"/>
      <c r="AL828" s="602"/>
    </row>
    <row r="829" spans="3:38" ht="15.75" customHeight="1" x14ac:dyDescent="0.25">
      <c r="C829" s="628"/>
      <c r="K829" s="602"/>
      <c r="M829" s="628"/>
      <c r="R829" s="628"/>
      <c r="S829" s="602"/>
      <c r="T829" s="602"/>
      <c r="U829" s="602"/>
      <c r="V829" s="602"/>
      <c r="Z829" s="628"/>
      <c r="AG829" s="602"/>
      <c r="AH829" s="602"/>
      <c r="AI829" s="602"/>
      <c r="AJ829" s="602"/>
      <c r="AK829" s="602"/>
      <c r="AL829" s="602"/>
    </row>
    <row r="830" spans="3:38" ht="15.75" customHeight="1" x14ac:dyDescent="0.25">
      <c r="C830" s="628"/>
      <c r="K830" s="602"/>
      <c r="M830" s="628"/>
      <c r="R830" s="628"/>
      <c r="S830" s="602"/>
      <c r="T830" s="602"/>
      <c r="U830" s="602"/>
      <c r="V830" s="602"/>
      <c r="Z830" s="628"/>
      <c r="AG830" s="602"/>
      <c r="AH830" s="602"/>
      <c r="AI830" s="602"/>
      <c r="AJ830" s="602"/>
      <c r="AK830" s="602"/>
      <c r="AL830" s="602"/>
    </row>
    <row r="831" spans="3:38" ht="15.75" customHeight="1" x14ac:dyDescent="0.25">
      <c r="C831" s="628"/>
      <c r="K831" s="602"/>
      <c r="M831" s="628"/>
      <c r="R831" s="628"/>
      <c r="S831" s="602"/>
      <c r="T831" s="602"/>
      <c r="U831" s="602"/>
      <c r="V831" s="602"/>
      <c r="Z831" s="628"/>
      <c r="AG831" s="602"/>
      <c r="AH831" s="602"/>
      <c r="AI831" s="602"/>
      <c r="AJ831" s="602"/>
      <c r="AK831" s="602"/>
      <c r="AL831" s="602"/>
    </row>
    <row r="832" spans="3:38" ht="15.75" customHeight="1" x14ac:dyDescent="0.25">
      <c r="C832" s="628"/>
      <c r="K832" s="602"/>
      <c r="M832" s="628"/>
      <c r="R832" s="628"/>
      <c r="S832" s="602"/>
      <c r="T832" s="602"/>
      <c r="U832" s="602"/>
      <c r="V832" s="602"/>
      <c r="Z832" s="628"/>
      <c r="AG832" s="602"/>
      <c r="AH832" s="602"/>
      <c r="AI832" s="602"/>
      <c r="AJ832" s="602"/>
      <c r="AK832" s="602"/>
      <c r="AL832" s="602"/>
    </row>
    <row r="833" spans="3:38" ht="15.75" customHeight="1" x14ac:dyDescent="0.25">
      <c r="C833" s="628"/>
      <c r="K833" s="602"/>
      <c r="M833" s="628"/>
      <c r="R833" s="628"/>
      <c r="S833" s="602"/>
      <c r="T833" s="602"/>
      <c r="U833" s="602"/>
      <c r="V833" s="602"/>
      <c r="Z833" s="628"/>
      <c r="AG833" s="602"/>
      <c r="AH833" s="602"/>
      <c r="AI833" s="602"/>
      <c r="AJ833" s="602"/>
      <c r="AK833" s="602"/>
      <c r="AL833" s="602"/>
    </row>
    <row r="834" spans="3:38" ht="15.75" customHeight="1" x14ac:dyDescent="0.25">
      <c r="C834" s="628"/>
      <c r="K834" s="602"/>
      <c r="M834" s="628"/>
      <c r="R834" s="628"/>
      <c r="S834" s="602"/>
      <c r="T834" s="602"/>
      <c r="U834" s="602"/>
      <c r="V834" s="602"/>
      <c r="Z834" s="628"/>
      <c r="AG834" s="602"/>
      <c r="AH834" s="602"/>
      <c r="AI834" s="602"/>
      <c r="AJ834" s="602"/>
      <c r="AK834" s="602"/>
      <c r="AL834" s="602"/>
    </row>
    <row r="835" spans="3:38" ht="15.75" customHeight="1" x14ac:dyDescent="0.25">
      <c r="C835" s="628"/>
      <c r="K835" s="602"/>
      <c r="M835" s="628"/>
      <c r="R835" s="628"/>
      <c r="S835" s="602"/>
      <c r="T835" s="602"/>
      <c r="U835" s="602"/>
      <c r="V835" s="602"/>
      <c r="Z835" s="628"/>
      <c r="AG835" s="602"/>
      <c r="AH835" s="602"/>
      <c r="AI835" s="602"/>
      <c r="AJ835" s="602"/>
      <c r="AK835" s="602"/>
      <c r="AL835" s="602"/>
    </row>
    <row r="836" spans="3:38" ht="15.75" customHeight="1" x14ac:dyDescent="0.25">
      <c r="C836" s="628"/>
      <c r="K836" s="602"/>
      <c r="M836" s="628"/>
      <c r="R836" s="628"/>
      <c r="S836" s="602"/>
      <c r="T836" s="602"/>
      <c r="U836" s="602"/>
      <c r="V836" s="602"/>
      <c r="Z836" s="628"/>
      <c r="AG836" s="602"/>
      <c r="AH836" s="602"/>
      <c r="AI836" s="602"/>
      <c r="AJ836" s="602"/>
      <c r="AK836" s="602"/>
      <c r="AL836" s="602"/>
    </row>
    <row r="837" spans="3:38" ht="15.75" customHeight="1" x14ac:dyDescent="0.25">
      <c r="C837" s="628"/>
      <c r="K837" s="602"/>
      <c r="M837" s="628"/>
      <c r="R837" s="628"/>
      <c r="S837" s="602"/>
      <c r="T837" s="602"/>
      <c r="U837" s="602"/>
      <c r="V837" s="602"/>
      <c r="Z837" s="628"/>
      <c r="AG837" s="602"/>
      <c r="AH837" s="602"/>
      <c r="AI837" s="602"/>
      <c r="AJ837" s="602"/>
      <c r="AK837" s="602"/>
      <c r="AL837" s="602"/>
    </row>
    <row r="838" spans="3:38" ht="15.75" customHeight="1" x14ac:dyDescent="0.25">
      <c r="C838" s="628"/>
      <c r="K838" s="602"/>
      <c r="M838" s="628"/>
      <c r="R838" s="628"/>
      <c r="S838" s="602"/>
      <c r="T838" s="602"/>
      <c r="U838" s="602"/>
      <c r="V838" s="602"/>
      <c r="Z838" s="628"/>
      <c r="AG838" s="602"/>
      <c r="AH838" s="602"/>
      <c r="AI838" s="602"/>
      <c r="AJ838" s="602"/>
      <c r="AK838" s="602"/>
      <c r="AL838" s="602"/>
    </row>
    <row r="839" spans="3:38" ht="15.75" customHeight="1" x14ac:dyDescent="0.25">
      <c r="C839" s="628"/>
      <c r="K839" s="602"/>
      <c r="M839" s="628"/>
      <c r="R839" s="628"/>
      <c r="S839" s="602"/>
      <c r="T839" s="602"/>
      <c r="U839" s="602"/>
      <c r="V839" s="602"/>
      <c r="Z839" s="628"/>
      <c r="AG839" s="602"/>
      <c r="AH839" s="602"/>
      <c r="AI839" s="602"/>
      <c r="AJ839" s="602"/>
      <c r="AK839" s="602"/>
      <c r="AL839" s="602"/>
    </row>
    <row r="840" spans="3:38" ht="15.75" customHeight="1" x14ac:dyDescent="0.25">
      <c r="C840" s="628"/>
      <c r="K840" s="602"/>
      <c r="M840" s="628"/>
      <c r="R840" s="628"/>
      <c r="S840" s="602"/>
      <c r="T840" s="602"/>
      <c r="U840" s="602"/>
      <c r="V840" s="602"/>
      <c r="Z840" s="628"/>
      <c r="AG840" s="602"/>
      <c r="AH840" s="602"/>
      <c r="AI840" s="602"/>
      <c r="AJ840" s="602"/>
      <c r="AK840" s="602"/>
      <c r="AL840" s="602"/>
    </row>
    <row r="841" spans="3:38" ht="15.75" customHeight="1" x14ac:dyDescent="0.25">
      <c r="C841" s="628"/>
      <c r="K841" s="602"/>
      <c r="M841" s="628"/>
      <c r="R841" s="628"/>
      <c r="S841" s="602"/>
      <c r="T841" s="602"/>
      <c r="U841" s="602"/>
      <c r="V841" s="602"/>
      <c r="Z841" s="628"/>
      <c r="AG841" s="602"/>
      <c r="AH841" s="602"/>
      <c r="AI841" s="602"/>
      <c r="AJ841" s="602"/>
      <c r="AK841" s="602"/>
      <c r="AL841" s="602"/>
    </row>
    <row r="842" spans="3:38" ht="15.75" customHeight="1" x14ac:dyDescent="0.25">
      <c r="C842" s="628"/>
      <c r="K842" s="602"/>
      <c r="M842" s="628"/>
      <c r="R842" s="628"/>
      <c r="S842" s="602"/>
      <c r="T842" s="602"/>
      <c r="U842" s="602"/>
      <c r="V842" s="602"/>
      <c r="Z842" s="628"/>
      <c r="AG842" s="602"/>
      <c r="AH842" s="602"/>
      <c r="AI842" s="602"/>
      <c r="AJ842" s="602"/>
      <c r="AK842" s="602"/>
      <c r="AL842" s="602"/>
    </row>
    <row r="843" spans="3:38" ht="15.75" customHeight="1" x14ac:dyDescent="0.25">
      <c r="C843" s="628"/>
      <c r="K843" s="602"/>
      <c r="M843" s="628"/>
      <c r="R843" s="628"/>
      <c r="S843" s="602"/>
      <c r="T843" s="602"/>
      <c r="U843" s="602"/>
      <c r="V843" s="602"/>
      <c r="Z843" s="628"/>
      <c r="AG843" s="602"/>
      <c r="AH843" s="602"/>
      <c r="AI843" s="602"/>
      <c r="AJ843" s="602"/>
      <c r="AK843" s="602"/>
      <c r="AL843" s="602"/>
    </row>
    <row r="844" spans="3:38" ht="15.75" customHeight="1" x14ac:dyDescent="0.25">
      <c r="C844" s="628"/>
      <c r="K844" s="602"/>
      <c r="M844" s="628"/>
      <c r="R844" s="628"/>
      <c r="S844" s="602"/>
      <c r="T844" s="602"/>
      <c r="U844" s="602"/>
      <c r="V844" s="602"/>
      <c r="Z844" s="628"/>
      <c r="AG844" s="602"/>
      <c r="AH844" s="602"/>
      <c r="AI844" s="602"/>
      <c r="AJ844" s="602"/>
      <c r="AK844" s="602"/>
      <c r="AL844" s="602"/>
    </row>
    <row r="845" spans="3:38" ht="15.75" customHeight="1" x14ac:dyDescent="0.25">
      <c r="C845" s="628"/>
      <c r="K845" s="602"/>
      <c r="M845" s="628"/>
      <c r="R845" s="628"/>
      <c r="S845" s="602"/>
      <c r="T845" s="602"/>
      <c r="U845" s="602"/>
      <c r="V845" s="602"/>
      <c r="Z845" s="628"/>
      <c r="AG845" s="602"/>
      <c r="AH845" s="602"/>
      <c r="AI845" s="602"/>
      <c r="AJ845" s="602"/>
      <c r="AK845" s="602"/>
      <c r="AL845" s="602"/>
    </row>
    <row r="846" spans="3:38" ht="15.75" customHeight="1" x14ac:dyDescent="0.25">
      <c r="C846" s="628"/>
      <c r="K846" s="602"/>
      <c r="M846" s="628"/>
      <c r="R846" s="628"/>
      <c r="S846" s="602"/>
      <c r="T846" s="602"/>
      <c r="U846" s="602"/>
      <c r="V846" s="602"/>
      <c r="Z846" s="628"/>
      <c r="AG846" s="602"/>
      <c r="AH846" s="602"/>
      <c r="AI846" s="602"/>
      <c r="AJ846" s="602"/>
      <c r="AK846" s="602"/>
      <c r="AL846" s="602"/>
    </row>
    <row r="847" spans="3:38" ht="15.75" customHeight="1" x14ac:dyDescent="0.25">
      <c r="C847" s="628"/>
      <c r="K847" s="602"/>
      <c r="M847" s="628"/>
      <c r="R847" s="628"/>
      <c r="S847" s="602"/>
      <c r="T847" s="602"/>
      <c r="U847" s="602"/>
      <c r="V847" s="602"/>
      <c r="Z847" s="628"/>
      <c r="AG847" s="602"/>
      <c r="AH847" s="602"/>
      <c r="AI847" s="602"/>
      <c r="AJ847" s="602"/>
      <c r="AK847" s="602"/>
      <c r="AL847" s="602"/>
    </row>
    <row r="848" spans="3:38" ht="15.75" customHeight="1" x14ac:dyDescent="0.25">
      <c r="C848" s="628"/>
      <c r="K848" s="602"/>
      <c r="M848" s="628"/>
      <c r="R848" s="628"/>
      <c r="S848" s="602"/>
      <c r="T848" s="602"/>
      <c r="U848" s="602"/>
      <c r="V848" s="602"/>
      <c r="Z848" s="628"/>
      <c r="AG848" s="602"/>
      <c r="AH848" s="602"/>
      <c r="AI848" s="602"/>
      <c r="AJ848" s="602"/>
      <c r="AK848" s="602"/>
      <c r="AL848" s="602"/>
    </row>
    <row r="849" spans="3:38" ht="15.75" customHeight="1" x14ac:dyDescent="0.25">
      <c r="C849" s="628"/>
      <c r="K849" s="602"/>
      <c r="M849" s="628"/>
      <c r="R849" s="628"/>
      <c r="S849" s="602"/>
      <c r="T849" s="602"/>
      <c r="U849" s="602"/>
      <c r="V849" s="602"/>
      <c r="Z849" s="628"/>
      <c r="AG849" s="602"/>
      <c r="AH849" s="602"/>
      <c r="AI849" s="602"/>
      <c r="AJ849" s="602"/>
      <c r="AK849" s="602"/>
      <c r="AL849" s="602"/>
    </row>
    <row r="850" spans="3:38" ht="15.75" customHeight="1" x14ac:dyDescent="0.25">
      <c r="C850" s="628"/>
      <c r="K850" s="602"/>
      <c r="M850" s="628"/>
      <c r="R850" s="628"/>
      <c r="S850" s="602"/>
      <c r="T850" s="602"/>
      <c r="U850" s="602"/>
      <c r="V850" s="602"/>
      <c r="Z850" s="628"/>
      <c r="AG850" s="602"/>
      <c r="AH850" s="602"/>
      <c r="AI850" s="602"/>
      <c r="AJ850" s="602"/>
      <c r="AK850" s="602"/>
      <c r="AL850" s="602"/>
    </row>
    <row r="851" spans="3:38" ht="15.75" customHeight="1" x14ac:dyDescent="0.25">
      <c r="C851" s="628"/>
      <c r="K851" s="602"/>
      <c r="M851" s="628"/>
      <c r="R851" s="628"/>
      <c r="S851" s="602"/>
      <c r="T851" s="602"/>
      <c r="U851" s="602"/>
      <c r="V851" s="602"/>
      <c r="Z851" s="628"/>
      <c r="AG851" s="602"/>
      <c r="AH851" s="602"/>
      <c r="AI851" s="602"/>
      <c r="AJ851" s="602"/>
      <c r="AK851" s="602"/>
      <c r="AL851" s="602"/>
    </row>
    <row r="852" spans="3:38" ht="15.75" customHeight="1" x14ac:dyDescent="0.25">
      <c r="C852" s="628"/>
      <c r="K852" s="602"/>
      <c r="M852" s="628"/>
      <c r="R852" s="628"/>
      <c r="S852" s="602"/>
      <c r="T852" s="602"/>
      <c r="U852" s="602"/>
      <c r="V852" s="602"/>
      <c r="Z852" s="628"/>
      <c r="AG852" s="602"/>
      <c r="AH852" s="602"/>
      <c r="AI852" s="602"/>
      <c r="AJ852" s="602"/>
      <c r="AK852" s="602"/>
      <c r="AL852" s="602"/>
    </row>
    <row r="853" spans="3:38" ht="15.75" customHeight="1" x14ac:dyDescent="0.25">
      <c r="C853" s="628"/>
      <c r="K853" s="602"/>
      <c r="M853" s="628"/>
      <c r="R853" s="628"/>
      <c r="S853" s="602"/>
      <c r="T853" s="602"/>
      <c r="U853" s="602"/>
      <c r="V853" s="602"/>
      <c r="Z853" s="628"/>
      <c r="AG853" s="602"/>
      <c r="AH853" s="602"/>
      <c r="AI853" s="602"/>
      <c r="AJ853" s="602"/>
      <c r="AK853" s="602"/>
      <c r="AL853" s="602"/>
    </row>
    <row r="854" spans="3:38" ht="15.75" customHeight="1" x14ac:dyDescent="0.25">
      <c r="C854" s="628"/>
      <c r="K854" s="602"/>
      <c r="M854" s="628"/>
      <c r="R854" s="628"/>
      <c r="S854" s="602"/>
      <c r="T854" s="602"/>
      <c r="U854" s="602"/>
      <c r="V854" s="602"/>
      <c r="Z854" s="628"/>
      <c r="AG854" s="602"/>
      <c r="AH854" s="602"/>
      <c r="AI854" s="602"/>
      <c r="AJ854" s="602"/>
      <c r="AK854" s="602"/>
      <c r="AL854" s="602"/>
    </row>
    <row r="855" spans="3:38" ht="15.75" customHeight="1" x14ac:dyDescent="0.25">
      <c r="C855" s="628"/>
      <c r="K855" s="602"/>
      <c r="M855" s="628"/>
      <c r="R855" s="628"/>
      <c r="S855" s="602"/>
      <c r="T855" s="602"/>
      <c r="U855" s="602"/>
      <c r="V855" s="602"/>
      <c r="Z855" s="628"/>
      <c r="AG855" s="602"/>
      <c r="AH855" s="602"/>
      <c r="AI855" s="602"/>
      <c r="AJ855" s="602"/>
      <c r="AK855" s="602"/>
      <c r="AL855" s="602"/>
    </row>
    <row r="856" spans="3:38" ht="15.75" customHeight="1" x14ac:dyDescent="0.25">
      <c r="C856" s="628"/>
      <c r="K856" s="602"/>
      <c r="M856" s="628"/>
      <c r="R856" s="628"/>
      <c r="S856" s="602"/>
      <c r="T856" s="602"/>
      <c r="U856" s="602"/>
      <c r="V856" s="602"/>
      <c r="Z856" s="628"/>
      <c r="AG856" s="602"/>
      <c r="AH856" s="602"/>
      <c r="AI856" s="602"/>
      <c r="AJ856" s="602"/>
      <c r="AK856" s="602"/>
      <c r="AL856" s="602"/>
    </row>
    <row r="857" spans="3:38" ht="15.75" customHeight="1" x14ac:dyDescent="0.25">
      <c r="C857" s="628"/>
      <c r="K857" s="602"/>
      <c r="M857" s="628"/>
      <c r="R857" s="628"/>
      <c r="S857" s="602"/>
      <c r="T857" s="602"/>
      <c r="U857" s="602"/>
      <c r="V857" s="602"/>
      <c r="Z857" s="628"/>
      <c r="AG857" s="602"/>
      <c r="AH857" s="602"/>
      <c r="AI857" s="602"/>
      <c r="AJ857" s="602"/>
      <c r="AK857" s="602"/>
      <c r="AL857" s="602"/>
    </row>
    <row r="858" spans="3:38" ht="15.75" customHeight="1" x14ac:dyDescent="0.25">
      <c r="C858" s="628"/>
      <c r="K858" s="602"/>
      <c r="M858" s="628"/>
      <c r="R858" s="628"/>
      <c r="S858" s="602"/>
      <c r="T858" s="602"/>
      <c r="U858" s="602"/>
      <c r="V858" s="602"/>
      <c r="Z858" s="628"/>
      <c r="AG858" s="602"/>
      <c r="AH858" s="602"/>
      <c r="AI858" s="602"/>
      <c r="AJ858" s="602"/>
      <c r="AK858" s="602"/>
      <c r="AL858" s="602"/>
    </row>
    <row r="859" spans="3:38" ht="15.75" customHeight="1" x14ac:dyDescent="0.25">
      <c r="C859" s="628"/>
      <c r="K859" s="602"/>
      <c r="M859" s="628"/>
      <c r="R859" s="628"/>
      <c r="S859" s="602"/>
      <c r="T859" s="602"/>
      <c r="U859" s="602"/>
      <c r="V859" s="602"/>
      <c r="Z859" s="628"/>
      <c r="AG859" s="602"/>
      <c r="AH859" s="602"/>
      <c r="AI859" s="602"/>
      <c r="AJ859" s="602"/>
      <c r="AK859" s="602"/>
      <c r="AL859" s="602"/>
    </row>
    <row r="860" spans="3:38" ht="15.75" customHeight="1" x14ac:dyDescent="0.25">
      <c r="C860" s="628"/>
      <c r="K860" s="602"/>
      <c r="M860" s="628"/>
      <c r="R860" s="628"/>
      <c r="S860" s="602"/>
      <c r="T860" s="602"/>
      <c r="U860" s="602"/>
      <c r="V860" s="602"/>
      <c r="Z860" s="628"/>
      <c r="AG860" s="602"/>
      <c r="AH860" s="602"/>
      <c r="AI860" s="602"/>
      <c r="AJ860" s="602"/>
      <c r="AK860" s="602"/>
      <c r="AL860" s="602"/>
    </row>
    <row r="861" spans="3:38" ht="15.75" customHeight="1" x14ac:dyDescent="0.25">
      <c r="C861" s="628"/>
      <c r="K861" s="602"/>
      <c r="M861" s="628"/>
      <c r="R861" s="628"/>
      <c r="S861" s="602"/>
      <c r="T861" s="602"/>
      <c r="U861" s="602"/>
      <c r="V861" s="602"/>
      <c r="Z861" s="628"/>
      <c r="AG861" s="602"/>
      <c r="AH861" s="602"/>
      <c r="AI861" s="602"/>
      <c r="AJ861" s="602"/>
      <c r="AK861" s="602"/>
      <c r="AL861" s="602"/>
    </row>
    <row r="862" spans="3:38" ht="15.75" customHeight="1" x14ac:dyDescent="0.25">
      <c r="C862" s="628"/>
      <c r="K862" s="602"/>
      <c r="M862" s="628"/>
      <c r="R862" s="628"/>
      <c r="S862" s="602"/>
      <c r="T862" s="602"/>
      <c r="U862" s="602"/>
      <c r="V862" s="602"/>
      <c r="Z862" s="628"/>
      <c r="AG862" s="602"/>
      <c r="AH862" s="602"/>
      <c r="AI862" s="602"/>
      <c r="AJ862" s="602"/>
      <c r="AK862" s="602"/>
      <c r="AL862" s="602"/>
    </row>
    <row r="863" spans="3:38" ht="15.75" customHeight="1" x14ac:dyDescent="0.25">
      <c r="C863" s="628"/>
      <c r="K863" s="602"/>
      <c r="M863" s="628"/>
      <c r="R863" s="628"/>
      <c r="S863" s="602"/>
      <c r="T863" s="602"/>
      <c r="U863" s="602"/>
      <c r="V863" s="602"/>
      <c r="Z863" s="628"/>
      <c r="AG863" s="602"/>
      <c r="AH863" s="602"/>
      <c r="AI863" s="602"/>
      <c r="AJ863" s="602"/>
      <c r="AK863" s="602"/>
      <c r="AL863" s="602"/>
    </row>
    <row r="864" spans="3:38" ht="15.75" customHeight="1" x14ac:dyDescent="0.25">
      <c r="C864" s="628"/>
      <c r="K864" s="602"/>
      <c r="M864" s="628"/>
      <c r="R864" s="628"/>
      <c r="S864" s="602"/>
      <c r="T864" s="602"/>
      <c r="U864" s="602"/>
      <c r="V864" s="602"/>
      <c r="Z864" s="628"/>
      <c r="AG864" s="602"/>
      <c r="AH864" s="602"/>
      <c r="AI864" s="602"/>
      <c r="AJ864" s="602"/>
      <c r="AK864" s="602"/>
      <c r="AL864" s="602"/>
    </row>
    <row r="865" spans="3:38" ht="15.75" customHeight="1" x14ac:dyDescent="0.25">
      <c r="C865" s="628"/>
      <c r="K865" s="602"/>
      <c r="M865" s="628"/>
      <c r="R865" s="628"/>
      <c r="S865" s="602"/>
      <c r="T865" s="602"/>
      <c r="U865" s="602"/>
      <c r="V865" s="602"/>
      <c r="Z865" s="628"/>
      <c r="AG865" s="602"/>
      <c r="AH865" s="602"/>
      <c r="AI865" s="602"/>
      <c r="AJ865" s="602"/>
      <c r="AK865" s="602"/>
      <c r="AL865" s="602"/>
    </row>
    <row r="866" spans="3:38" ht="15.75" customHeight="1" x14ac:dyDescent="0.25">
      <c r="C866" s="628"/>
      <c r="K866" s="602"/>
      <c r="M866" s="628"/>
      <c r="R866" s="628"/>
      <c r="S866" s="602"/>
      <c r="T866" s="602"/>
      <c r="U866" s="602"/>
      <c r="V866" s="602"/>
      <c r="Z866" s="628"/>
      <c r="AG866" s="602"/>
      <c r="AH866" s="602"/>
      <c r="AI866" s="602"/>
      <c r="AJ866" s="602"/>
      <c r="AK866" s="602"/>
      <c r="AL866" s="602"/>
    </row>
    <row r="867" spans="3:38" ht="15.75" customHeight="1" x14ac:dyDescent="0.25">
      <c r="C867" s="628"/>
      <c r="K867" s="602"/>
      <c r="M867" s="628"/>
      <c r="R867" s="628"/>
      <c r="S867" s="602"/>
      <c r="T867" s="602"/>
      <c r="U867" s="602"/>
      <c r="V867" s="602"/>
      <c r="Z867" s="628"/>
      <c r="AG867" s="602"/>
      <c r="AH867" s="602"/>
      <c r="AI867" s="602"/>
      <c r="AJ867" s="602"/>
      <c r="AK867" s="602"/>
      <c r="AL867" s="602"/>
    </row>
    <row r="868" spans="3:38" ht="15.75" customHeight="1" x14ac:dyDescent="0.25">
      <c r="C868" s="628"/>
      <c r="K868" s="602"/>
      <c r="M868" s="628"/>
      <c r="R868" s="628"/>
      <c r="S868" s="602"/>
      <c r="T868" s="602"/>
      <c r="U868" s="602"/>
      <c r="V868" s="602"/>
      <c r="Z868" s="628"/>
      <c r="AG868" s="602"/>
      <c r="AH868" s="602"/>
      <c r="AI868" s="602"/>
      <c r="AJ868" s="602"/>
      <c r="AK868" s="602"/>
      <c r="AL868" s="602"/>
    </row>
    <row r="869" spans="3:38" ht="15.75" customHeight="1" x14ac:dyDescent="0.25">
      <c r="C869" s="628"/>
      <c r="K869" s="602"/>
      <c r="M869" s="628"/>
      <c r="R869" s="628"/>
      <c r="S869" s="602"/>
      <c r="T869" s="602"/>
      <c r="U869" s="602"/>
      <c r="V869" s="602"/>
      <c r="Z869" s="628"/>
      <c r="AG869" s="602"/>
      <c r="AH869" s="602"/>
      <c r="AI869" s="602"/>
      <c r="AJ869" s="602"/>
      <c r="AK869" s="602"/>
      <c r="AL869" s="602"/>
    </row>
    <row r="870" spans="3:38" ht="15.75" customHeight="1" x14ac:dyDescent="0.25">
      <c r="C870" s="628"/>
      <c r="K870" s="602"/>
      <c r="M870" s="628"/>
      <c r="R870" s="628"/>
      <c r="S870" s="602"/>
      <c r="T870" s="602"/>
      <c r="U870" s="602"/>
      <c r="V870" s="602"/>
      <c r="Z870" s="628"/>
      <c r="AG870" s="602"/>
      <c r="AH870" s="602"/>
      <c r="AI870" s="602"/>
      <c r="AJ870" s="602"/>
      <c r="AK870" s="602"/>
      <c r="AL870" s="602"/>
    </row>
    <row r="871" spans="3:38" ht="15.75" customHeight="1" x14ac:dyDescent="0.25">
      <c r="C871" s="628"/>
      <c r="K871" s="602"/>
      <c r="M871" s="628"/>
      <c r="R871" s="628"/>
      <c r="S871" s="602"/>
      <c r="T871" s="602"/>
      <c r="U871" s="602"/>
      <c r="V871" s="602"/>
      <c r="Z871" s="628"/>
      <c r="AG871" s="602"/>
      <c r="AH871" s="602"/>
      <c r="AI871" s="602"/>
      <c r="AJ871" s="602"/>
      <c r="AK871" s="602"/>
      <c r="AL871" s="602"/>
    </row>
    <row r="872" spans="3:38" ht="15.75" customHeight="1" x14ac:dyDescent="0.25">
      <c r="C872" s="628"/>
      <c r="K872" s="602"/>
      <c r="M872" s="628"/>
      <c r="R872" s="628"/>
      <c r="S872" s="602"/>
      <c r="T872" s="602"/>
      <c r="U872" s="602"/>
      <c r="V872" s="602"/>
      <c r="Z872" s="628"/>
      <c r="AG872" s="602"/>
      <c r="AH872" s="602"/>
      <c r="AI872" s="602"/>
      <c r="AJ872" s="602"/>
      <c r="AK872" s="602"/>
      <c r="AL872" s="602"/>
    </row>
    <row r="873" spans="3:38" ht="15.75" customHeight="1" x14ac:dyDescent="0.25">
      <c r="C873" s="628"/>
      <c r="K873" s="602"/>
      <c r="M873" s="628"/>
      <c r="R873" s="628"/>
      <c r="S873" s="602"/>
      <c r="T873" s="602"/>
      <c r="U873" s="602"/>
      <c r="V873" s="602"/>
      <c r="Z873" s="628"/>
      <c r="AG873" s="602"/>
      <c r="AH873" s="602"/>
      <c r="AI873" s="602"/>
      <c r="AJ873" s="602"/>
      <c r="AK873" s="602"/>
      <c r="AL873" s="602"/>
    </row>
    <row r="874" spans="3:38" ht="15.75" customHeight="1" x14ac:dyDescent="0.25">
      <c r="C874" s="628"/>
      <c r="K874" s="602"/>
      <c r="M874" s="628"/>
      <c r="R874" s="628"/>
      <c r="S874" s="602"/>
      <c r="T874" s="602"/>
      <c r="U874" s="602"/>
      <c r="V874" s="602"/>
      <c r="Z874" s="628"/>
      <c r="AG874" s="602"/>
      <c r="AH874" s="602"/>
      <c r="AI874" s="602"/>
      <c r="AJ874" s="602"/>
      <c r="AK874" s="602"/>
      <c r="AL874" s="602"/>
    </row>
    <row r="875" spans="3:38" ht="15.75" customHeight="1" x14ac:dyDescent="0.25">
      <c r="C875" s="628"/>
      <c r="K875" s="602"/>
      <c r="M875" s="628"/>
      <c r="R875" s="628"/>
      <c r="S875" s="602"/>
      <c r="T875" s="602"/>
      <c r="U875" s="602"/>
      <c r="V875" s="602"/>
      <c r="Z875" s="628"/>
      <c r="AG875" s="602"/>
      <c r="AH875" s="602"/>
      <c r="AI875" s="602"/>
      <c r="AJ875" s="602"/>
      <c r="AK875" s="602"/>
      <c r="AL875" s="602"/>
    </row>
    <row r="876" spans="3:38" ht="15.75" customHeight="1" x14ac:dyDescent="0.25">
      <c r="C876" s="628"/>
      <c r="K876" s="602"/>
      <c r="M876" s="628"/>
      <c r="R876" s="628"/>
      <c r="S876" s="602"/>
      <c r="T876" s="602"/>
      <c r="U876" s="602"/>
      <c r="V876" s="602"/>
      <c r="Z876" s="628"/>
      <c r="AG876" s="602"/>
      <c r="AH876" s="602"/>
      <c r="AI876" s="602"/>
      <c r="AJ876" s="602"/>
      <c r="AK876" s="602"/>
      <c r="AL876" s="602"/>
    </row>
    <row r="877" spans="3:38" ht="15.75" customHeight="1" x14ac:dyDescent="0.25">
      <c r="C877" s="628"/>
      <c r="K877" s="602"/>
      <c r="M877" s="628"/>
      <c r="R877" s="628"/>
      <c r="S877" s="602"/>
      <c r="T877" s="602"/>
      <c r="U877" s="602"/>
      <c r="V877" s="602"/>
      <c r="Z877" s="628"/>
      <c r="AG877" s="602"/>
      <c r="AH877" s="602"/>
      <c r="AI877" s="602"/>
      <c r="AJ877" s="602"/>
      <c r="AK877" s="602"/>
      <c r="AL877" s="602"/>
    </row>
    <row r="878" spans="3:38" ht="15.75" customHeight="1" x14ac:dyDescent="0.25">
      <c r="C878" s="628"/>
      <c r="K878" s="602"/>
      <c r="M878" s="628"/>
      <c r="R878" s="628"/>
      <c r="S878" s="602"/>
      <c r="T878" s="602"/>
      <c r="U878" s="602"/>
      <c r="V878" s="602"/>
      <c r="Z878" s="628"/>
      <c r="AG878" s="602"/>
      <c r="AH878" s="602"/>
      <c r="AI878" s="602"/>
      <c r="AJ878" s="602"/>
      <c r="AK878" s="602"/>
      <c r="AL878" s="602"/>
    </row>
    <row r="879" spans="3:38" ht="15.75" customHeight="1" x14ac:dyDescent="0.25">
      <c r="C879" s="628"/>
      <c r="K879" s="602"/>
      <c r="M879" s="628"/>
      <c r="R879" s="628"/>
      <c r="S879" s="602"/>
      <c r="T879" s="602"/>
      <c r="U879" s="602"/>
      <c r="V879" s="602"/>
      <c r="Z879" s="628"/>
      <c r="AG879" s="602"/>
      <c r="AH879" s="602"/>
      <c r="AI879" s="602"/>
      <c r="AJ879" s="602"/>
      <c r="AK879" s="602"/>
      <c r="AL879" s="602"/>
    </row>
    <row r="880" spans="3:38" ht="15.75" customHeight="1" x14ac:dyDescent="0.25">
      <c r="C880" s="628"/>
      <c r="K880" s="602"/>
      <c r="M880" s="628"/>
      <c r="R880" s="628"/>
      <c r="S880" s="602"/>
      <c r="T880" s="602"/>
      <c r="U880" s="602"/>
      <c r="V880" s="602"/>
      <c r="Z880" s="628"/>
      <c r="AG880" s="602"/>
      <c r="AH880" s="602"/>
      <c r="AI880" s="602"/>
      <c r="AJ880" s="602"/>
      <c r="AK880" s="602"/>
      <c r="AL880" s="602"/>
    </row>
    <row r="881" spans="3:38" ht="15.75" customHeight="1" x14ac:dyDescent="0.25">
      <c r="C881" s="628"/>
      <c r="K881" s="602"/>
      <c r="M881" s="628"/>
      <c r="R881" s="628"/>
      <c r="S881" s="602"/>
      <c r="T881" s="602"/>
      <c r="U881" s="602"/>
      <c r="V881" s="602"/>
      <c r="Z881" s="628"/>
      <c r="AG881" s="602"/>
      <c r="AH881" s="602"/>
      <c r="AI881" s="602"/>
      <c r="AJ881" s="602"/>
      <c r="AK881" s="602"/>
      <c r="AL881" s="602"/>
    </row>
    <row r="882" spans="3:38" ht="15.75" customHeight="1" x14ac:dyDescent="0.25">
      <c r="C882" s="628"/>
      <c r="K882" s="602"/>
      <c r="M882" s="628"/>
      <c r="R882" s="628"/>
      <c r="S882" s="602"/>
      <c r="T882" s="602"/>
      <c r="U882" s="602"/>
      <c r="V882" s="602"/>
      <c r="Z882" s="628"/>
      <c r="AG882" s="602"/>
      <c r="AH882" s="602"/>
      <c r="AI882" s="602"/>
      <c r="AJ882" s="602"/>
      <c r="AK882" s="602"/>
      <c r="AL882" s="602"/>
    </row>
    <row r="883" spans="3:38" ht="15.75" customHeight="1" x14ac:dyDescent="0.25">
      <c r="C883" s="628"/>
      <c r="K883" s="602"/>
      <c r="M883" s="628"/>
      <c r="R883" s="628"/>
      <c r="S883" s="602"/>
      <c r="T883" s="602"/>
      <c r="U883" s="602"/>
      <c r="V883" s="602"/>
      <c r="Z883" s="628"/>
      <c r="AG883" s="602"/>
      <c r="AH883" s="602"/>
      <c r="AI883" s="602"/>
      <c r="AJ883" s="602"/>
      <c r="AK883" s="602"/>
      <c r="AL883" s="602"/>
    </row>
    <row r="884" spans="3:38" ht="15.75" customHeight="1" x14ac:dyDescent="0.25">
      <c r="C884" s="628"/>
      <c r="K884" s="602"/>
      <c r="M884" s="628"/>
      <c r="R884" s="628"/>
      <c r="S884" s="602"/>
      <c r="T884" s="602"/>
      <c r="U884" s="602"/>
      <c r="V884" s="602"/>
      <c r="Z884" s="628"/>
      <c r="AG884" s="602"/>
      <c r="AH884" s="602"/>
      <c r="AI884" s="602"/>
      <c r="AJ884" s="602"/>
      <c r="AK884" s="602"/>
      <c r="AL884" s="602"/>
    </row>
    <row r="885" spans="3:38" ht="15.75" customHeight="1" x14ac:dyDescent="0.25">
      <c r="C885" s="628"/>
      <c r="K885" s="602"/>
      <c r="M885" s="628"/>
      <c r="R885" s="628"/>
      <c r="S885" s="602"/>
      <c r="T885" s="602"/>
      <c r="U885" s="602"/>
      <c r="V885" s="602"/>
      <c r="Z885" s="628"/>
      <c r="AG885" s="602"/>
      <c r="AH885" s="602"/>
      <c r="AI885" s="602"/>
      <c r="AJ885" s="602"/>
      <c r="AK885" s="602"/>
      <c r="AL885" s="602"/>
    </row>
    <row r="886" spans="3:38" ht="15.75" customHeight="1" x14ac:dyDescent="0.25">
      <c r="C886" s="628"/>
      <c r="K886" s="602"/>
      <c r="M886" s="628"/>
      <c r="R886" s="628"/>
      <c r="S886" s="602"/>
      <c r="T886" s="602"/>
      <c r="U886" s="602"/>
      <c r="V886" s="602"/>
      <c r="Z886" s="628"/>
      <c r="AG886" s="602"/>
      <c r="AH886" s="602"/>
      <c r="AI886" s="602"/>
      <c r="AJ886" s="602"/>
      <c r="AK886" s="602"/>
      <c r="AL886" s="602"/>
    </row>
    <row r="887" spans="3:38" ht="15.75" customHeight="1" x14ac:dyDescent="0.25">
      <c r="C887" s="628"/>
      <c r="K887" s="602"/>
      <c r="M887" s="628"/>
      <c r="R887" s="628"/>
      <c r="S887" s="602"/>
      <c r="T887" s="602"/>
      <c r="U887" s="602"/>
      <c r="V887" s="602"/>
      <c r="Z887" s="628"/>
      <c r="AG887" s="602"/>
      <c r="AH887" s="602"/>
      <c r="AI887" s="602"/>
      <c r="AJ887" s="602"/>
      <c r="AK887" s="602"/>
      <c r="AL887" s="602"/>
    </row>
    <row r="888" spans="3:38" ht="15.75" customHeight="1" x14ac:dyDescent="0.25">
      <c r="C888" s="628"/>
      <c r="K888" s="602"/>
      <c r="M888" s="628"/>
      <c r="R888" s="628"/>
      <c r="S888" s="602"/>
      <c r="T888" s="602"/>
      <c r="U888" s="602"/>
      <c r="V888" s="602"/>
      <c r="Z888" s="628"/>
      <c r="AG888" s="602"/>
      <c r="AH888" s="602"/>
      <c r="AI888" s="602"/>
      <c r="AJ888" s="602"/>
      <c r="AK888" s="602"/>
      <c r="AL888" s="602"/>
    </row>
    <row r="889" spans="3:38" ht="15.75" customHeight="1" x14ac:dyDescent="0.25">
      <c r="C889" s="628"/>
      <c r="K889" s="602"/>
      <c r="M889" s="628"/>
      <c r="R889" s="628"/>
      <c r="S889" s="602"/>
      <c r="T889" s="602"/>
      <c r="U889" s="602"/>
      <c r="V889" s="602"/>
      <c r="Z889" s="628"/>
      <c r="AG889" s="602"/>
      <c r="AH889" s="602"/>
      <c r="AI889" s="602"/>
      <c r="AJ889" s="602"/>
      <c r="AK889" s="602"/>
      <c r="AL889" s="602"/>
    </row>
    <row r="890" spans="3:38" ht="15.75" customHeight="1" x14ac:dyDescent="0.25">
      <c r="C890" s="628"/>
      <c r="K890" s="602"/>
      <c r="M890" s="628"/>
      <c r="R890" s="628"/>
      <c r="S890" s="602"/>
      <c r="T890" s="602"/>
      <c r="U890" s="602"/>
      <c r="V890" s="602"/>
      <c r="Z890" s="628"/>
      <c r="AG890" s="602"/>
      <c r="AH890" s="602"/>
      <c r="AI890" s="602"/>
      <c r="AJ890" s="602"/>
      <c r="AK890" s="602"/>
      <c r="AL890" s="602"/>
    </row>
    <row r="891" spans="3:38" ht="15.75" customHeight="1" x14ac:dyDescent="0.25">
      <c r="C891" s="628"/>
      <c r="K891" s="602"/>
      <c r="M891" s="628"/>
      <c r="R891" s="628"/>
      <c r="S891" s="602"/>
      <c r="T891" s="602"/>
      <c r="U891" s="602"/>
      <c r="V891" s="602"/>
      <c r="Z891" s="628"/>
      <c r="AG891" s="602"/>
      <c r="AH891" s="602"/>
      <c r="AI891" s="602"/>
      <c r="AJ891" s="602"/>
      <c r="AK891" s="602"/>
      <c r="AL891" s="602"/>
    </row>
    <row r="892" spans="3:38" ht="15.75" customHeight="1" x14ac:dyDescent="0.25">
      <c r="C892" s="628"/>
      <c r="K892" s="602"/>
      <c r="M892" s="628"/>
      <c r="R892" s="628"/>
      <c r="S892" s="602"/>
      <c r="T892" s="602"/>
      <c r="U892" s="602"/>
      <c r="V892" s="602"/>
      <c r="Z892" s="628"/>
      <c r="AG892" s="602"/>
      <c r="AH892" s="602"/>
      <c r="AI892" s="602"/>
      <c r="AJ892" s="602"/>
      <c r="AK892" s="602"/>
      <c r="AL892" s="602"/>
    </row>
    <row r="893" spans="3:38" ht="15.75" customHeight="1" x14ac:dyDescent="0.25">
      <c r="C893" s="628"/>
      <c r="K893" s="602"/>
      <c r="M893" s="628"/>
      <c r="R893" s="628"/>
      <c r="S893" s="602"/>
      <c r="T893" s="602"/>
      <c r="U893" s="602"/>
      <c r="V893" s="602"/>
      <c r="Z893" s="628"/>
      <c r="AG893" s="602"/>
      <c r="AH893" s="602"/>
      <c r="AI893" s="602"/>
      <c r="AJ893" s="602"/>
      <c r="AK893" s="602"/>
      <c r="AL893" s="602"/>
    </row>
    <row r="894" spans="3:38" ht="15.75" customHeight="1" x14ac:dyDescent="0.25">
      <c r="C894" s="628"/>
      <c r="K894" s="602"/>
      <c r="M894" s="628"/>
      <c r="R894" s="628"/>
      <c r="S894" s="602"/>
      <c r="T894" s="602"/>
      <c r="U894" s="602"/>
      <c r="V894" s="602"/>
      <c r="Z894" s="628"/>
      <c r="AG894" s="602"/>
      <c r="AH894" s="602"/>
      <c r="AI894" s="602"/>
      <c r="AJ894" s="602"/>
      <c r="AK894" s="602"/>
      <c r="AL894" s="602"/>
    </row>
    <row r="895" spans="3:38" ht="15.75" customHeight="1" x14ac:dyDescent="0.25">
      <c r="C895" s="628"/>
      <c r="K895" s="602"/>
      <c r="M895" s="628"/>
      <c r="R895" s="628"/>
      <c r="S895" s="602"/>
      <c r="T895" s="602"/>
      <c r="U895" s="602"/>
      <c r="V895" s="602"/>
      <c r="Z895" s="628"/>
      <c r="AG895" s="602"/>
      <c r="AH895" s="602"/>
      <c r="AI895" s="602"/>
      <c r="AJ895" s="602"/>
      <c r="AK895" s="602"/>
      <c r="AL895" s="602"/>
    </row>
    <row r="896" spans="3:38" ht="15.75" customHeight="1" x14ac:dyDescent="0.25">
      <c r="C896" s="628"/>
      <c r="K896" s="602"/>
      <c r="M896" s="628"/>
      <c r="R896" s="628"/>
      <c r="S896" s="602"/>
      <c r="T896" s="602"/>
      <c r="U896" s="602"/>
      <c r="V896" s="602"/>
      <c r="Z896" s="628"/>
      <c r="AG896" s="602"/>
      <c r="AH896" s="602"/>
      <c r="AI896" s="602"/>
      <c r="AJ896" s="602"/>
      <c r="AK896" s="602"/>
      <c r="AL896" s="602"/>
    </row>
    <row r="897" spans="3:38" ht="15.75" customHeight="1" x14ac:dyDescent="0.25">
      <c r="C897" s="628"/>
      <c r="K897" s="602"/>
      <c r="M897" s="628"/>
      <c r="R897" s="628"/>
      <c r="S897" s="602"/>
      <c r="T897" s="602"/>
      <c r="U897" s="602"/>
      <c r="V897" s="602"/>
      <c r="Z897" s="628"/>
      <c r="AG897" s="602"/>
      <c r="AH897" s="602"/>
      <c r="AI897" s="602"/>
      <c r="AJ897" s="602"/>
      <c r="AK897" s="602"/>
      <c r="AL897" s="602"/>
    </row>
    <row r="898" spans="3:38" ht="15.75" customHeight="1" x14ac:dyDescent="0.25">
      <c r="C898" s="628"/>
      <c r="K898" s="602"/>
      <c r="M898" s="628"/>
      <c r="R898" s="628"/>
      <c r="S898" s="602"/>
      <c r="T898" s="602"/>
      <c r="U898" s="602"/>
      <c r="V898" s="602"/>
      <c r="Z898" s="628"/>
      <c r="AG898" s="602"/>
      <c r="AH898" s="602"/>
      <c r="AI898" s="602"/>
      <c r="AJ898" s="602"/>
      <c r="AK898" s="602"/>
      <c r="AL898" s="602"/>
    </row>
    <row r="899" spans="3:38" ht="15.75" customHeight="1" x14ac:dyDescent="0.25">
      <c r="C899" s="628"/>
      <c r="K899" s="602"/>
      <c r="M899" s="628"/>
      <c r="R899" s="628"/>
      <c r="S899" s="602"/>
      <c r="T899" s="602"/>
      <c r="U899" s="602"/>
      <c r="V899" s="602"/>
      <c r="Z899" s="628"/>
      <c r="AG899" s="602"/>
      <c r="AH899" s="602"/>
      <c r="AI899" s="602"/>
      <c r="AJ899" s="602"/>
      <c r="AK899" s="602"/>
      <c r="AL899" s="602"/>
    </row>
    <row r="900" spans="3:38" ht="15.75" customHeight="1" x14ac:dyDescent="0.25">
      <c r="C900" s="628"/>
      <c r="K900" s="602"/>
      <c r="M900" s="628"/>
      <c r="R900" s="628"/>
      <c r="S900" s="602"/>
      <c r="T900" s="602"/>
      <c r="U900" s="602"/>
      <c r="V900" s="602"/>
      <c r="Z900" s="628"/>
      <c r="AG900" s="602"/>
      <c r="AH900" s="602"/>
      <c r="AI900" s="602"/>
      <c r="AJ900" s="602"/>
      <c r="AK900" s="602"/>
      <c r="AL900" s="602"/>
    </row>
    <row r="901" spans="3:38" ht="15.75" customHeight="1" x14ac:dyDescent="0.25">
      <c r="C901" s="628"/>
      <c r="K901" s="602"/>
      <c r="M901" s="628"/>
      <c r="R901" s="628"/>
      <c r="S901" s="602"/>
      <c r="T901" s="602"/>
      <c r="U901" s="602"/>
      <c r="V901" s="602"/>
      <c r="Z901" s="628"/>
      <c r="AG901" s="602"/>
      <c r="AH901" s="602"/>
      <c r="AI901" s="602"/>
      <c r="AJ901" s="602"/>
      <c r="AK901" s="602"/>
      <c r="AL901" s="602"/>
    </row>
    <row r="902" spans="3:38" ht="15.75" customHeight="1" x14ac:dyDescent="0.25">
      <c r="C902" s="628"/>
      <c r="K902" s="602"/>
      <c r="M902" s="628"/>
      <c r="R902" s="628"/>
      <c r="S902" s="602"/>
      <c r="T902" s="602"/>
      <c r="U902" s="602"/>
      <c r="V902" s="602"/>
      <c r="Z902" s="628"/>
      <c r="AG902" s="602"/>
      <c r="AH902" s="602"/>
      <c r="AI902" s="602"/>
      <c r="AJ902" s="602"/>
      <c r="AK902" s="602"/>
      <c r="AL902" s="602"/>
    </row>
    <row r="903" spans="3:38" ht="15.75" customHeight="1" x14ac:dyDescent="0.25">
      <c r="C903" s="628"/>
      <c r="K903" s="602"/>
      <c r="M903" s="628"/>
      <c r="R903" s="628"/>
      <c r="S903" s="602"/>
      <c r="T903" s="602"/>
      <c r="U903" s="602"/>
      <c r="V903" s="602"/>
      <c r="Z903" s="628"/>
      <c r="AG903" s="602"/>
      <c r="AH903" s="602"/>
      <c r="AI903" s="602"/>
      <c r="AJ903" s="602"/>
      <c r="AK903" s="602"/>
      <c r="AL903" s="602"/>
    </row>
    <row r="904" spans="3:38" ht="15.75" customHeight="1" x14ac:dyDescent="0.25">
      <c r="C904" s="628"/>
      <c r="K904" s="602"/>
      <c r="M904" s="628"/>
      <c r="R904" s="628"/>
      <c r="S904" s="602"/>
      <c r="T904" s="602"/>
      <c r="U904" s="602"/>
      <c r="V904" s="602"/>
      <c r="Z904" s="628"/>
      <c r="AG904" s="602"/>
      <c r="AH904" s="602"/>
      <c r="AI904" s="602"/>
      <c r="AJ904" s="602"/>
      <c r="AK904" s="602"/>
      <c r="AL904" s="602"/>
    </row>
    <row r="905" spans="3:38" ht="15.75" customHeight="1" x14ac:dyDescent="0.25">
      <c r="C905" s="628"/>
      <c r="K905" s="602"/>
      <c r="M905" s="628"/>
      <c r="R905" s="628"/>
      <c r="S905" s="602"/>
      <c r="T905" s="602"/>
      <c r="U905" s="602"/>
      <c r="V905" s="602"/>
      <c r="Z905" s="628"/>
      <c r="AG905" s="602"/>
      <c r="AH905" s="602"/>
      <c r="AI905" s="602"/>
      <c r="AJ905" s="602"/>
      <c r="AK905" s="602"/>
      <c r="AL905" s="602"/>
    </row>
    <row r="906" spans="3:38" ht="15.75" customHeight="1" x14ac:dyDescent="0.25">
      <c r="C906" s="628"/>
      <c r="K906" s="602"/>
      <c r="M906" s="628"/>
      <c r="R906" s="628"/>
      <c r="S906" s="602"/>
      <c r="T906" s="602"/>
      <c r="U906" s="602"/>
      <c r="V906" s="602"/>
      <c r="Z906" s="628"/>
      <c r="AG906" s="602"/>
      <c r="AH906" s="602"/>
      <c r="AI906" s="602"/>
      <c r="AJ906" s="602"/>
      <c r="AK906" s="602"/>
      <c r="AL906" s="602"/>
    </row>
    <row r="907" spans="3:38" ht="15.75" customHeight="1" x14ac:dyDescent="0.25">
      <c r="C907" s="628"/>
      <c r="K907" s="602"/>
      <c r="M907" s="628"/>
      <c r="R907" s="628"/>
      <c r="S907" s="602"/>
      <c r="T907" s="602"/>
      <c r="U907" s="602"/>
      <c r="V907" s="602"/>
      <c r="Z907" s="628"/>
      <c r="AG907" s="602"/>
      <c r="AH907" s="602"/>
      <c r="AI907" s="602"/>
      <c r="AJ907" s="602"/>
      <c r="AK907" s="602"/>
      <c r="AL907" s="602"/>
    </row>
  </sheetData>
  <mergeCells count="2350">
    <mergeCell ref="A1:D3"/>
    <mergeCell ref="E1:AY1"/>
    <mergeCell ref="E2:AY2"/>
    <mergeCell ref="E3:AD3"/>
    <mergeCell ref="AE3:AY3"/>
    <mergeCell ref="A4:D4"/>
    <mergeCell ref="E4:AY4"/>
    <mergeCell ref="AY8:AY9"/>
    <mergeCell ref="A10:A141"/>
    <mergeCell ref="B10:B141"/>
    <mergeCell ref="C10:C15"/>
    <mergeCell ref="AF10:AF15"/>
    <mergeCell ref="AG10:AG15"/>
    <mergeCell ref="AH10:AH15"/>
    <mergeCell ref="AI10:AI15"/>
    <mergeCell ref="AJ10:AJ15"/>
    <mergeCell ref="A5:D5"/>
    <mergeCell ref="E5:AY5"/>
    <mergeCell ref="A6:D6"/>
    <mergeCell ref="E6:AY6"/>
    <mergeCell ref="A8:F8"/>
    <mergeCell ref="G8:S8"/>
    <mergeCell ref="T8:AF8"/>
    <mergeCell ref="AG8:AK8"/>
    <mergeCell ref="AL8:AM8"/>
    <mergeCell ref="AO8:AX8"/>
    <mergeCell ref="AX16:AX21"/>
    <mergeCell ref="AM16:AM21"/>
    <mergeCell ref="AN16:AN21"/>
    <mergeCell ref="AO16:AO21"/>
    <mergeCell ref="AP16:AP21"/>
    <mergeCell ref="AQ16:AQ21"/>
    <mergeCell ref="AR16:AR21"/>
    <mergeCell ref="AW10:AW15"/>
    <mergeCell ref="AX10:AX15"/>
    <mergeCell ref="AY10:AY21"/>
    <mergeCell ref="C16:C21"/>
    <mergeCell ref="AF16:AF21"/>
    <mergeCell ref="AG16:AG21"/>
    <mergeCell ref="AH16:AH21"/>
    <mergeCell ref="AI16:AI21"/>
    <mergeCell ref="AK16:AK21"/>
    <mergeCell ref="AL16:AL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L22:AL27"/>
    <mergeCell ref="AM22:AM27"/>
    <mergeCell ref="AN22:AN27"/>
    <mergeCell ref="AO22:AO27"/>
    <mergeCell ref="AP22:AP27"/>
    <mergeCell ref="AQ22:AQ27"/>
    <mergeCell ref="C22:C27"/>
    <mergeCell ref="AF22:AF27"/>
    <mergeCell ref="AG22:AG27"/>
    <mergeCell ref="AH22:AH27"/>
    <mergeCell ref="AI22:AI27"/>
    <mergeCell ref="AK22:AK27"/>
    <mergeCell ref="AS16:AS21"/>
    <mergeCell ref="AT16:AT21"/>
    <mergeCell ref="AU16:AU21"/>
    <mergeCell ref="AV16:AV21"/>
    <mergeCell ref="AW16:AW21"/>
    <mergeCell ref="AU28:AU33"/>
    <mergeCell ref="AV28:AV33"/>
    <mergeCell ref="AW28:AW33"/>
    <mergeCell ref="AX28:AX33"/>
    <mergeCell ref="C34:C39"/>
    <mergeCell ref="AF34:AF39"/>
    <mergeCell ref="AG34:AG39"/>
    <mergeCell ref="AH34:AH39"/>
    <mergeCell ref="AI34:AI39"/>
    <mergeCell ref="AK34:AK39"/>
    <mergeCell ref="AO28:AO33"/>
    <mergeCell ref="AP28:AP33"/>
    <mergeCell ref="AQ28:AQ33"/>
    <mergeCell ref="AR28:AR33"/>
    <mergeCell ref="AS28:AS33"/>
    <mergeCell ref="AT28:AT33"/>
    <mergeCell ref="AX22:AX27"/>
    <mergeCell ref="C28:C33"/>
    <mergeCell ref="AF28:AF33"/>
    <mergeCell ref="AG28:AG33"/>
    <mergeCell ref="AH28:AH33"/>
    <mergeCell ref="AI28:AI33"/>
    <mergeCell ref="AK28:AK33"/>
    <mergeCell ref="AL28:AL33"/>
    <mergeCell ref="AM28:AM33"/>
    <mergeCell ref="AN28:AN33"/>
    <mergeCell ref="AR22:AR27"/>
    <mergeCell ref="AS22:AS27"/>
    <mergeCell ref="AT22:AT27"/>
    <mergeCell ref="AU22:AU27"/>
    <mergeCell ref="AV22:AV27"/>
    <mergeCell ref="AW22:AW27"/>
    <mergeCell ref="AX34:AX39"/>
    <mergeCell ref="C40:C45"/>
    <mergeCell ref="AF40:AF45"/>
    <mergeCell ref="AG40:AG45"/>
    <mergeCell ref="AH40:AH45"/>
    <mergeCell ref="AI40:AI45"/>
    <mergeCell ref="AK40:AK45"/>
    <mergeCell ref="AL40:AL45"/>
    <mergeCell ref="AM40:AM45"/>
    <mergeCell ref="AN40:AN45"/>
    <mergeCell ref="AR34:AR39"/>
    <mergeCell ref="AS34:AS39"/>
    <mergeCell ref="AT34:AT39"/>
    <mergeCell ref="AU34:AU39"/>
    <mergeCell ref="AV34:AV39"/>
    <mergeCell ref="AW34:AW39"/>
    <mergeCell ref="AL34:AL39"/>
    <mergeCell ref="AM34:AM39"/>
    <mergeCell ref="AN34:AN39"/>
    <mergeCell ref="AO34:AO39"/>
    <mergeCell ref="AP34:AP39"/>
    <mergeCell ref="AQ34:AQ39"/>
    <mergeCell ref="AL46:AL51"/>
    <mergeCell ref="AM46:AM51"/>
    <mergeCell ref="AN46:AN51"/>
    <mergeCell ref="AO46:AO51"/>
    <mergeCell ref="AP46:AP51"/>
    <mergeCell ref="AQ46:AQ51"/>
    <mergeCell ref="AU40:AU45"/>
    <mergeCell ref="AV40:AV45"/>
    <mergeCell ref="AW40:AW45"/>
    <mergeCell ref="AX40:AX45"/>
    <mergeCell ref="C46:C51"/>
    <mergeCell ref="AF46:AF51"/>
    <mergeCell ref="AG46:AG51"/>
    <mergeCell ref="AH46:AH51"/>
    <mergeCell ref="AI46:AI51"/>
    <mergeCell ref="AK46:AK51"/>
    <mergeCell ref="AO40:AO45"/>
    <mergeCell ref="AP40:AP45"/>
    <mergeCell ref="AQ40:AQ45"/>
    <mergeCell ref="AR40:AR45"/>
    <mergeCell ref="AS40:AS45"/>
    <mergeCell ref="AT40:AT45"/>
    <mergeCell ref="AU52:AU57"/>
    <mergeCell ref="AV52:AV57"/>
    <mergeCell ref="AW52:AW57"/>
    <mergeCell ref="AX52:AX57"/>
    <mergeCell ref="C58:C63"/>
    <mergeCell ref="AF58:AF63"/>
    <mergeCell ref="AG58:AG63"/>
    <mergeCell ref="AH58:AH63"/>
    <mergeCell ref="AI58:AI63"/>
    <mergeCell ref="AK58:AK63"/>
    <mergeCell ref="AO52:AO57"/>
    <mergeCell ref="AP52:AP57"/>
    <mergeCell ref="AQ52:AQ57"/>
    <mergeCell ref="AR52:AR57"/>
    <mergeCell ref="AS52:AS57"/>
    <mergeCell ref="AT52:AT57"/>
    <mergeCell ref="AX46:AX51"/>
    <mergeCell ref="C52:C57"/>
    <mergeCell ref="AF52:AF57"/>
    <mergeCell ref="AG52:AG57"/>
    <mergeCell ref="AH52:AH57"/>
    <mergeCell ref="AI52:AI57"/>
    <mergeCell ref="AK52:AK57"/>
    <mergeCell ref="AL52:AL57"/>
    <mergeCell ref="AM52:AM57"/>
    <mergeCell ref="AN52:AN57"/>
    <mergeCell ref="AR46:AR51"/>
    <mergeCell ref="AS46:AS51"/>
    <mergeCell ref="AT46:AT51"/>
    <mergeCell ref="AU46:AU51"/>
    <mergeCell ref="AV46:AV51"/>
    <mergeCell ref="AW46:AW51"/>
    <mergeCell ref="AX58:AX63"/>
    <mergeCell ref="C64:C69"/>
    <mergeCell ref="AF64:AF69"/>
    <mergeCell ref="AG64:AG69"/>
    <mergeCell ref="AH64:AH69"/>
    <mergeCell ref="AI64:AI69"/>
    <mergeCell ref="AK64:AK69"/>
    <mergeCell ref="AL64:AL69"/>
    <mergeCell ref="AM64:AM69"/>
    <mergeCell ref="AN64:AN69"/>
    <mergeCell ref="AR58:AR63"/>
    <mergeCell ref="AS58:AS63"/>
    <mergeCell ref="AT58:AT63"/>
    <mergeCell ref="AU58:AU63"/>
    <mergeCell ref="AV58:AV63"/>
    <mergeCell ref="AW58:AW63"/>
    <mergeCell ref="AL58:AL63"/>
    <mergeCell ref="AM58:AM63"/>
    <mergeCell ref="AN58:AN63"/>
    <mergeCell ref="AO58:AO63"/>
    <mergeCell ref="AP58:AP63"/>
    <mergeCell ref="AQ58:AQ63"/>
    <mergeCell ref="AX70:AX75"/>
    <mergeCell ref="AL70:AL75"/>
    <mergeCell ref="AM70:AM75"/>
    <mergeCell ref="AO70:AO75"/>
    <mergeCell ref="AP70:AP75"/>
    <mergeCell ref="AQ70:AQ75"/>
    <mergeCell ref="AR70:AR75"/>
    <mergeCell ref="AU64:AU69"/>
    <mergeCell ref="AV64:AV69"/>
    <mergeCell ref="AW64:AW69"/>
    <mergeCell ref="AX64:AX69"/>
    <mergeCell ref="C70:C75"/>
    <mergeCell ref="AF70:AF75"/>
    <mergeCell ref="AG70:AG75"/>
    <mergeCell ref="AH70:AH75"/>
    <mergeCell ref="AI70:AI75"/>
    <mergeCell ref="AK70:AK75"/>
    <mergeCell ref="AO64:AO69"/>
    <mergeCell ref="AP64:AP69"/>
    <mergeCell ref="AQ64:AQ69"/>
    <mergeCell ref="AR64:AR69"/>
    <mergeCell ref="AS64:AS69"/>
    <mergeCell ref="AT64:AT69"/>
    <mergeCell ref="AL76:AL81"/>
    <mergeCell ref="AM76:AM81"/>
    <mergeCell ref="AN76:AN81"/>
    <mergeCell ref="AO76:AO81"/>
    <mergeCell ref="AP76:AP81"/>
    <mergeCell ref="AQ76:AQ81"/>
    <mergeCell ref="C76:C81"/>
    <mergeCell ref="AF76:AF81"/>
    <mergeCell ref="AG76:AG81"/>
    <mergeCell ref="AH76:AH81"/>
    <mergeCell ref="AI76:AI81"/>
    <mergeCell ref="AK76:AK81"/>
    <mergeCell ref="AS70:AS75"/>
    <mergeCell ref="AT70:AT75"/>
    <mergeCell ref="AU70:AU75"/>
    <mergeCell ref="AV70:AV75"/>
    <mergeCell ref="AW70:AW75"/>
    <mergeCell ref="AU82:AU87"/>
    <mergeCell ref="AV82:AV87"/>
    <mergeCell ref="AW82:AW87"/>
    <mergeCell ref="AX82:AX87"/>
    <mergeCell ref="C88:C93"/>
    <mergeCell ref="AF88:AF93"/>
    <mergeCell ref="AG88:AG93"/>
    <mergeCell ref="AH88:AH93"/>
    <mergeCell ref="AI88:AI93"/>
    <mergeCell ref="AK88:AK93"/>
    <mergeCell ref="AO82:AO87"/>
    <mergeCell ref="AP82:AP87"/>
    <mergeCell ref="AQ82:AQ87"/>
    <mergeCell ref="AR82:AR87"/>
    <mergeCell ref="AS82:AS87"/>
    <mergeCell ref="AT82:AT87"/>
    <mergeCell ref="AX76:AX81"/>
    <mergeCell ref="C82:C87"/>
    <mergeCell ref="AF82:AF87"/>
    <mergeCell ref="AG82:AG87"/>
    <mergeCell ref="AH82:AH87"/>
    <mergeCell ref="AI82:AI87"/>
    <mergeCell ref="AK82:AK87"/>
    <mergeCell ref="AL82:AL87"/>
    <mergeCell ref="AM82:AM87"/>
    <mergeCell ref="AN82:AN87"/>
    <mergeCell ref="AR76:AR81"/>
    <mergeCell ref="AS76:AS81"/>
    <mergeCell ref="AT76:AT81"/>
    <mergeCell ref="AU76:AU81"/>
    <mergeCell ref="AV76:AV81"/>
    <mergeCell ref="AW76:AW81"/>
    <mergeCell ref="AX88:AX93"/>
    <mergeCell ref="C94:C99"/>
    <mergeCell ref="AF94:AF99"/>
    <mergeCell ref="AG94:AG99"/>
    <mergeCell ref="AH94:AH99"/>
    <mergeCell ref="AI94:AI99"/>
    <mergeCell ref="AK94:AK99"/>
    <mergeCell ref="AL94:AL99"/>
    <mergeCell ref="AM94:AM99"/>
    <mergeCell ref="AN94:AN99"/>
    <mergeCell ref="AR88:AR93"/>
    <mergeCell ref="AS88:AS93"/>
    <mergeCell ref="AT88:AT93"/>
    <mergeCell ref="AU88:AU93"/>
    <mergeCell ref="AV88:AV93"/>
    <mergeCell ref="AW88:AW93"/>
    <mergeCell ref="AL88:AL93"/>
    <mergeCell ref="AM88:AM93"/>
    <mergeCell ref="AN88:AN93"/>
    <mergeCell ref="AO88:AO93"/>
    <mergeCell ref="AP88:AP93"/>
    <mergeCell ref="AQ88:AQ93"/>
    <mergeCell ref="AL100:AL105"/>
    <mergeCell ref="AM100:AM105"/>
    <mergeCell ref="AN100:AN105"/>
    <mergeCell ref="AO100:AO105"/>
    <mergeCell ref="AP100:AP105"/>
    <mergeCell ref="AQ100:AQ105"/>
    <mergeCell ref="AU94:AU99"/>
    <mergeCell ref="AV94:AV99"/>
    <mergeCell ref="AW94:AW99"/>
    <mergeCell ref="AX94:AX99"/>
    <mergeCell ref="C100:C105"/>
    <mergeCell ref="AF100:AF105"/>
    <mergeCell ref="AG100:AG105"/>
    <mergeCell ref="AH100:AH105"/>
    <mergeCell ref="AI100:AI105"/>
    <mergeCell ref="AK100:AK105"/>
    <mergeCell ref="AO94:AO99"/>
    <mergeCell ref="AP94:AP99"/>
    <mergeCell ref="AQ94:AQ99"/>
    <mergeCell ref="AR94:AR99"/>
    <mergeCell ref="AS94:AS99"/>
    <mergeCell ref="AT94:AT99"/>
    <mergeCell ref="AU106:AU111"/>
    <mergeCell ref="AV106:AV111"/>
    <mergeCell ref="AW106:AW111"/>
    <mergeCell ref="AX106:AX111"/>
    <mergeCell ref="C112:C117"/>
    <mergeCell ref="AF112:AF117"/>
    <mergeCell ref="AG112:AG117"/>
    <mergeCell ref="AH112:AH117"/>
    <mergeCell ref="AI112:AI117"/>
    <mergeCell ref="AK112:AK117"/>
    <mergeCell ref="AO106:AO111"/>
    <mergeCell ref="AP106:AP111"/>
    <mergeCell ref="AQ106:AQ111"/>
    <mergeCell ref="AR106:AR111"/>
    <mergeCell ref="AS106:AS111"/>
    <mergeCell ref="AT106:AT111"/>
    <mergeCell ref="AX100:AX105"/>
    <mergeCell ref="C106:C111"/>
    <mergeCell ref="AF106:AF111"/>
    <mergeCell ref="AG106:AG111"/>
    <mergeCell ref="AH106:AH111"/>
    <mergeCell ref="AI106:AI111"/>
    <mergeCell ref="AK106:AK111"/>
    <mergeCell ref="AL106:AL111"/>
    <mergeCell ref="AM106:AM111"/>
    <mergeCell ref="AN106:AN111"/>
    <mergeCell ref="AR100:AR105"/>
    <mergeCell ref="AS100:AS105"/>
    <mergeCell ref="AT100:AT105"/>
    <mergeCell ref="AU100:AU105"/>
    <mergeCell ref="AV100:AV105"/>
    <mergeCell ref="AW100:AW105"/>
    <mergeCell ref="AX112:AX117"/>
    <mergeCell ref="C118:C123"/>
    <mergeCell ref="AF118:AF123"/>
    <mergeCell ref="AG118:AG123"/>
    <mergeCell ref="AH118:AH123"/>
    <mergeCell ref="AI118:AI123"/>
    <mergeCell ref="AK118:AK123"/>
    <mergeCell ref="AL118:AL123"/>
    <mergeCell ref="AM118:AM123"/>
    <mergeCell ref="AN118:AN123"/>
    <mergeCell ref="AR112:AR117"/>
    <mergeCell ref="AS112:AS117"/>
    <mergeCell ref="AT112:AT117"/>
    <mergeCell ref="AU112:AU117"/>
    <mergeCell ref="AV112:AV117"/>
    <mergeCell ref="AW112:AW117"/>
    <mergeCell ref="AL112:AL117"/>
    <mergeCell ref="AM112:AM117"/>
    <mergeCell ref="AN112:AN117"/>
    <mergeCell ref="AO112:AO117"/>
    <mergeCell ref="AP112:AP117"/>
    <mergeCell ref="AQ112:AQ117"/>
    <mergeCell ref="AL124:AL129"/>
    <mergeCell ref="AM124:AM129"/>
    <mergeCell ref="AN124:AN129"/>
    <mergeCell ref="AO124:AO129"/>
    <mergeCell ref="AP124:AP129"/>
    <mergeCell ref="AQ124:AQ129"/>
    <mergeCell ref="AU118:AU123"/>
    <mergeCell ref="AV118:AV123"/>
    <mergeCell ref="AW118:AW123"/>
    <mergeCell ref="AX118:AX123"/>
    <mergeCell ref="C124:C129"/>
    <mergeCell ref="AF124:AF129"/>
    <mergeCell ref="AG124:AG129"/>
    <mergeCell ref="AH124:AH129"/>
    <mergeCell ref="AI124:AI129"/>
    <mergeCell ref="AK124:AK129"/>
    <mergeCell ref="AO118:AO123"/>
    <mergeCell ref="AP118:AP123"/>
    <mergeCell ref="AQ118:AQ123"/>
    <mergeCell ref="AR118:AR123"/>
    <mergeCell ref="AS118:AS123"/>
    <mergeCell ref="AT118:AT123"/>
    <mergeCell ref="AU130:AU135"/>
    <mergeCell ref="AV130:AV135"/>
    <mergeCell ref="AW130:AW135"/>
    <mergeCell ref="AX130:AX135"/>
    <mergeCell ref="C136:C141"/>
    <mergeCell ref="AG136:AG141"/>
    <mergeCell ref="AH136:AH141"/>
    <mergeCell ref="AI136:AI141"/>
    <mergeCell ref="AJ136:AJ141"/>
    <mergeCell ref="AK136:AK141"/>
    <mergeCell ref="AO130:AO135"/>
    <mergeCell ref="AP130:AP135"/>
    <mergeCell ref="AQ130:AQ135"/>
    <mergeCell ref="AR130:AR135"/>
    <mergeCell ref="AS130:AS135"/>
    <mergeCell ref="AT130:AT135"/>
    <mergeCell ref="AX124:AX129"/>
    <mergeCell ref="C130:C135"/>
    <mergeCell ref="AG130:AG135"/>
    <mergeCell ref="AH130:AH135"/>
    <mergeCell ref="AI130:AI135"/>
    <mergeCell ref="AJ130:AJ135"/>
    <mergeCell ref="AK130:AK135"/>
    <mergeCell ref="AL130:AL135"/>
    <mergeCell ref="AM130:AM135"/>
    <mergeCell ref="AN130:AN135"/>
    <mergeCell ref="AR124:AR129"/>
    <mergeCell ref="AS124:AS129"/>
    <mergeCell ref="AT124:AT129"/>
    <mergeCell ref="AU124:AU129"/>
    <mergeCell ref="AV124:AV129"/>
    <mergeCell ref="AW124:AW129"/>
    <mergeCell ref="AK142:AK147"/>
    <mergeCell ref="AL142:AL147"/>
    <mergeCell ref="AM142:AM147"/>
    <mergeCell ref="AN142:AN147"/>
    <mergeCell ref="AO142:AO147"/>
    <mergeCell ref="AP142:AP147"/>
    <mergeCell ref="AX136:AX141"/>
    <mergeCell ref="A142:A249"/>
    <mergeCell ref="B142:B249"/>
    <mergeCell ref="C142:C147"/>
    <mergeCell ref="AF142:AF147"/>
    <mergeCell ref="AG142:AG147"/>
    <mergeCell ref="AH142:AH147"/>
    <mergeCell ref="AI142:AI147"/>
    <mergeCell ref="AJ142:AJ147"/>
    <mergeCell ref="AR136:AR141"/>
    <mergeCell ref="AS136:AS141"/>
    <mergeCell ref="AT136:AT141"/>
    <mergeCell ref="AU136:AU141"/>
    <mergeCell ref="AV136:AV141"/>
    <mergeCell ref="AW136:AW141"/>
    <mergeCell ref="AL136:AL141"/>
    <mergeCell ref="AM136:AM141"/>
    <mergeCell ref="AN136:AN141"/>
    <mergeCell ref="AO136:AO141"/>
    <mergeCell ref="AP136:AP141"/>
    <mergeCell ref="AQ136:AQ141"/>
    <mergeCell ref="AT148:AT153"/>
    <mergeCell ref="AU148:AU153"/>
    <mergeCell ref="AV148:AV153"/>
    <mergeCell ref="AW148:AW153"/>
    <mergeCell ref="AX148:AX153"/>
    <mergeCell ref="C154:C159"/>
    <mergeCell ref="AF154:AF159"/>
    <mergeCell ref="AG154:AG159"/>
    <mergeCell ref="AH154:AH159"/>
    <mergeCell ref="AI154:AI159"/>
    <mergeCell ref="AN148:AN153"/>
    <mergeCell ref="AO148:AO153"/>
    <mergeCell ref="AP148:AP153"/>
    <mergeCell ref="AQ148:AQ153"/>
    <mergeCell ref="AR148:AR153"/>
    <mergeCell ref="AS148:AS153"/>
    <mergeCell ref="AW142:AW147"/>
    <mergeCell ref="AX142:AX147"/>
    <mergeCell ref="C148:C153"/>
    <mergeCell ref="AF148:AF153"/>
    <mergeCell ref="AG148:AG153"/>
    <mergeCell ref="AH148:AH153"/>
    <mergeCell ref="AI148:AI153"/>
    <mergeCell ref="AK148:AK153"/>
    <mergeCell ref="AL148:AL153"/>
    <mergeCell ref="AM148:AM153"/>
    <mergeCell ref="AQ142:AQ147"/>
    <mergeCell ref="AR142:AR147"/>
    <mergeCell ref="AS142:AS147"/>
    <mergeCell ref="AT142:AT147"/>
    <mergeCell ref="AU142:AU147"/>
    <mergeCell ref="AV142:AV147"/>
    <mergeCell ref="AV154:AV159"/>
    <mergeCell ref="AW154:AW159"/>
    <mergeCell ref="AX154:AX159"/>
    <mergeCell ref="C160:C165"/>
    <mergeCell ref="AF160:AF165"/>
    <mergeCell ref="AG160:AG165"/>
    <mergeCell ref="AH160:AH165"/>
    <mergeCell ref="AI160:AI165"/>
    <mergeCell ref="AJ160:AJ165"/>
    <mergeCell ref="AK160:AK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X160:AX165"/>
    <mergeCell ref="C166:C171"/>
    <mergeCell ref="AF166:AF171"/>
    <mergeCell ref="AG166:AG171"/>
    <mergeCell ref="AH166:AH171"/>
    <mergeCell ref="AI166:AI171"/>
    <mergeCell ref="AK166:AK171"/>
    <mergeCell ref="AL166:AL171"/>
    <mergeCell ref="AM166:AM171"/>
    <mergeCell ref="AN166:AN171"/>
    <mergeCell ref="AR160:AR165"/>
    <mergeCell ref="AS160:AS165"/>
    <mergeCell ref="AT160:AT165"/>
    <mergeCell ref="AU160:AU165"/>
    <mergeCell ref="AV160:AV165"/>
    <mergeCell ref="AW160:AW165"/>
    <mergeCell ref="AL160:AL165"/>
    <mergeCell ref="AM160:AM165"/>
    <mergeCell ref="AN160:AN165"/>
    <mergeCell ref="AO160:AO165"/>
    <mergeCell ref="AP160:AP165"/>
    <mergeCell ref="AQ160:AQ165"/>
    <mergeCell ref="AO172:AO177"/>
    <mergeCell ref="AP172:AP177"/>
    <mergeCell ref="AU166:AU171"/>
    <mergeCell ref="AV166:AV171"/>
    <mergeCell ref="AW166:AW171"/>
    <mergeCell ref="AX166:AX171"/>
    <mergeCell ref="C172:C177"/>
    <mergeCell ref="AF172:AF177"/>
    <mergeCell ref="AG172:AG177"/>
    <mergeCell ref="AH172:AH177"/>
    <mergeCell ref="AI172:AI177"/>
    <mergeCell ref="AJ172:AJ177"/>
    <mergeCell ref="AO166:AO171"/>
    <mergeCell ref="AP166:AP171"/>
    <mergeCell ref="AQ166:AQ171"/>
    <mergeCell ref="AR166:AR171"/>
    <mergeCell ref="AS166:AS171"/>
    <mergeCell ref="AT166:AT171"/>
    <mergeCell ref="AS178:AS183"/>
    <mergeCell ref="AT178:AT183"/>
    <mergeCell ref="AU178:AU183"/>
    <mergeCell ref="AV178:AV183"/>
    <mergeCell ref="AW178:AW183"/>
    <mergeCell ref="AX178:AX183"/>
    <mergeCell ref="AM178:AM183"/>
    <mergeCell ref="AN178:AN183"/>
    <mergeCell ref="AO178:AO183"/>
    <mergeCell ref="AP178:AP183"/>
    <mergeCell ref="AQ178:AQ183"/>
    <mergeCell ref="AR178:AR183"/>
    <mergeCell ref="AW172:AW177"/>
    <mergeCell ref="AX172:AX177"/>
    <mergeCell ref="C178:C183"/>
    <mergeCell ref="AF178:AF183"/>
    <mergeCell ref="AG178:AG183"/>
    <mergeCell ref="AH178:AH183"/>
    <mergeCell ref="AI178:AI183"/>
    <mergeCell ref="AJ178:AJ183"/>
    <mergeCell ref="AK178:AK183"/>
    <mergeCell ref="AL178:AL183"/>
    <mergeCell ref="AQ172:AQ177"/>
    <mergeCell ref="AR172:AR177"/>
    <mergeCell ref="AS172:AS177"/>
    <mergeCell ref="AT172:AT177"/>
    <mergeCell ref="AU172:AU177"/>
    <mergeCell ref="AV172:AV177"/>
    <mergeCell ref="AK172:AK177"/>
    <mergeCell ref="AL172:AL177"/>
    <mergeCell ref="AM172:AM177"/>
    <mergeCell ref="AN172:AN177"/>
    <mergeCell ref="AW184:AW189"/>
    <mergeCell ref="AX184:AX189"/>
    <mergeCell ref="C190:C195"/>
    <mergeCell ref="AF190:AF195"/>
    <mergeCell ref="AG190:AG195"/>
    <mergeCell ref="AH190:AH195"/>
    <mergeCell ref="AI190:AI195"/>
    <mergeCell ref="AJ190:AJ195"/>
    <mergeCell ref="AK190:AK195"/>
    <mergeCell ref="AL190:AL195"/>
    <mergeCell ref="AQ184:AQ189"/>
    <mergeCell ref="AR184:AR189"/>
    <mergeCell ref="AS184:AS189"/>
    <mergeCell ref="AT184:AT189"/>
    <mergeCell ref="AU184:AU189"/>
    <mergeCell ref="AV184:AV189"/>
    <mergeCell ref="AK184:AK189"/>
    <mergeCell ref="AL184:AL189"/>
    <mergeCell ref="AM184:AM189"/>
    <mergeCell ref="AN184:AN189"/>
    <mergeCell ref="AO184:AO189"/>
    <mergeCell ref="AP184:AP189"/>
    <mergeCell ref="C184:C189"/>
    <mergeCell ref="AF184:AF189"/>
    <mergeCell ref="AG184:AG189"/>
    <mergeCell ref="AH184:AH189"/>
    <mergeCell ref="AI184:AI189"/>
    <mergeCell ref="AJ184:AJ189"/>
    <mergeCell ref="AO196:AO201"/>
    <mergeCell ref="AP196:AP201"/>
    <mergeCell ref="C196:C201"/>
    <mergeCell ref="AF196:AF201"/>
    <mergeCell ref="AG196:AG201"/>
    <mergeCell ref="AH196:AH201"/>
    <mergeCell ref="AI196:AI201"/>
    <mergeCell ref="AJ196:AJ201"/>
    <mergeCell ref="AS190:AS195"/>
    <mergeCell ref="AT190:AT195"/>
    <mergeCell ref="AU190:AU195"/>
    <mergeCell ref="AV190:AV195"/>
    <mergeCell ref="AW190:AW195"/>
    <mergeCell ref="AX190:AX195"/>
    <mergeCell ref="AM190:AM195"/>
    <mergeCell ref="AN190:AN195"/>
    <mergeCell ref="AO190:AO195"/>
    <mergeCell ref="AP190:AP195"/>
    <mergeCell ref="AQ190:AQ195"/>
    <mergeCell ref="AR190:AR195"/>
    <mergeCell ref="AS202:AS207"/>
    <mergeCell ref="AT202:AT207"/>
    <mergeCell ref="AU202:AU207"/>
    <mergeCell ref="AV202:AV207"/>
    <mergeCell ref="AW202:AW207"/>
    <mergeCell ref="AX202:AX207"/>
    <mergeCell ref="AM202:AM207"/>
    <mergeCell ref="AN202:AN207"/>
    <mergeCell ref="AO202:AO207"/>
    <mergeCell ref="AP202:AP207"/>
    <mergeCell ref="AQ202:AQ207"/>
    <mergeCell ref="AR202:AR207"/>
    <mergeCell ref="AW196:AW201"/>
    <mergeCell ref="AX196:AX201"/>
    <mergeCell ref="C202:C207"/>
    <mergeCell ref="AF202:AF207"/>
    <mergeCell ref="AG202:AG207"/>
    <mergeCell ref="AH202:AH207"/>
    <mergeCell ref="AI202:AI207"/>
    <mergeCell ref="AJ202:AJ207"/>
    <mergeCell ref="AK202:AK207"/>
    <mergeCell ref="AL202:AL207"/>
    <mergeCell ref="AQ196:AQ201"/>
    <mergeCell ref="AR196:AR201"/>
    <mergeCell ref="AS196:AS201"/>
    <mergeCell ref="AT196:AT201"/>
    <mergeCell ref="AU196:AU201"/>
    <mergeCell ref="AV196:AV201"/>
    <mergeCell ref="AK196:AK201"/>
    <mergeCell ref="AL196:AL201"/>
    <mergeCell ref="AM196:AM201"/>
    <mergeCell ref="AN196:AN201"/>
    <mergeCell ref="C214:C219"/>
    <mergeCell ref="AF214:AF219"/>
    <mergeCell ref="AG214:AG219"/>
    <mergeCell ref="AH214:AH219"/>
    <mergeCell ref="AI214:AI219"/>
    <mergeCell ref="AJ214:AJ219"/>
    <mergeCell ref="AK214:AK219"/>
    <mergeCell ref="AL214:AL219"/>
    <mergeCell ref="AQ208:AQ213"/>
    <mergeCell ref="AR208:AR213"/>
    <mergeCell ref="AS208:AS213"/>
    <mergeCell ref="AT208:AT213"/>
    <mergeCell ref="AU208:AU213"/>
    <mergeCell ref="AV208:AV213"/>
    <mergeCell ref="AK208:AK213"/>
    <mergeCell ref="AL208:AL213"/>
    <mergeCell ref="AM208:AM213"/>
    <mergeCell ref="AN208:AN213"/>
    <mergeCell ref="AO208:AO213"/>
    <mergeCell ref="AP208:AP213"/>
    <mergeCell ref="C208:C213"/>
    <mergeCell ref="AF208:AF213"/>
    <mergeCell ref="AG208:AG213"/>
    <mergeCell ref="AH208:AH213"/>
    <mergeCell ref="AI208:AI213"/>
    <mergeCell ref="AJ208:AJ213"/>
    <mergeCell ref="AH220:AH225"/>
    <mergeCell ref="AI220:AI225"/>
    <mergeCell ref="AJ220:AJ225"/>
    <mergeCell ref="AS214:AS219"/>
    <mergeCell ref="AT214:AT219"/>
    <mergeCell ref="AU214:AU219"/>
    <mergeCell ref="AV214:AV219"/>
    <mergeCell ref="AW214:AW219"/>
    <mergeCell ref="AX214:AX219"/>
    <mergeCell ref="AM214:AM219"/>
    <mergeCell ref="AN214:AN219"/>
    <mergeCell ref="AO214:AO219"/>
    <mergeCell ref="AP214:AP219"/>
    <mergeCell ref="AQ214:AQ219"/>
    <mergeCell ref="AR214:AR219"/>
    <mergeCell ref="AW208:AW213"/>
    <mergeCell ref="AX208:AX213"/>
    <mergeCell ref="AX226:AX231"/>
    <mergeCell ref="AM226:AM231"/>
    <mergeCell ref="AN226:AN231"/>
    <mergeCell ref="AO226:AO231"/>
    <mergeCell ref="AP226:AP231"/>
    <mergeCell ref="AQ226:AQ231"/>
    <mergeCell ref="AR226:AR231"/>
    <mergeCell ref="AW220:AW225"/>
    <mergeCell ref="AX220:AX225"/>
    <mergeCell ref="C226:C231"/>
    <mergeCell ref="AF226:AF231"/>
    <mergeCell ref="AG226:AG231"/>
    <mergeCell ref="AH226:AH231"/>
    <mergeCell ref="AI226:AI231"/>
    <mergeCell ref="AJ226:AJ231"/>
    <mergeCell ref="AK226:AK231"/>
    <mergeCell ref="AL226:AL231"/>
    <mergeCell ref="AQ220:AQ225"/>
    <mergeCell ref="AR220:AR225"/>
    <mergeCell ref="AS220:AS225"/>
    <mergeCell ref="AT220:AT225"/>
    <mergeCell ref="AU220:AU225"/>
    <mergeCell ref="AV220:AV225"/>
    <mergeCell ref="AK220:AK225"/>
    <mergeCell ref="AL220:AL225"/>
    <mergeCell ref="AM220:AM225"/>
    <mergeCell ref="AN220:AN225"/>
    <mergeCell ref="AO220:AO225"/>
    <mergeCell ref="AP220:AP225"/>
    <mergeCell ref="C220:C225"/>
    <mergeCell ref="AF220:AF225"/>
    <mergeCell ref="AG220:AG225"/>
    <mergeCell ref="AK232:AK237"/>
    <mergeCell ref="AL232:AL237"/>
    <mergeCell ref="AM232:AM237"/>
    <mergeCell ref="AN232:AN237"/>
    <mergeCell ref="AO232:AO237"/>
    <mergeCell ref="AP232:AP237"/>
    <mergeCell ref="C232:C237"/>
    <mergeCell ref="AF232:AF237"/>
    <mergeCell ref="AG232:AG237"/>
    <mergeCell ref="AH232:AH237"/>
    <mergeCell ref="AI232:AI237"/>
    <mergeCell ref="AJ232:AJ237"/>
    <mergeCell ref="AS226:AS231"/>
    <mergeCell ref="AT226:AT231"/>
    <mergeCell ref="AU226:AU231"/>
    <mergeCell ref="AV226:AV231"/>
    <mergeCell ref="AW226:AW231"/>
    <mergeCell ref="AT238:AT243"/>
    <mergeCell ref="AU238:AU243"/>
    <mergeCell ref="AV238:AV243"/>
    <mergeCell ref="AW238:AW243"/>
    <mergeCell ref="AX238:AX243"/>
    <mergeCell ref="C244:C249"/>
    <mergeCell ref="AG244:AG249"/>
    <mergeCell ref="AH244:AH249"/>
    <mergeCell ref="AI244:AI249"/>
    <mergeCell ref="AJ244:AJ249"/>
    <mergeCell ref="AN238:AN243"/>
    <mergeCell ref="AO238:AO243"/>
    <mergeCell ref="AP238:AP243"/>
    <mergeCell ref="AQ238:AQ243"/>
    <mergeCell ref="AR238:AR243"/>
    <mergeCell ref="AS238:AS243"/>
    <mergeCell ref="AW232:AW237"/>
    <mergeCell ref="AX232:AX237"/>
    <mergeCell ref="C238:C243"/>
    <mergeCell ref="AG238:AG243"/>
    <mergeCell ref="AH238:AH243"/>
    <mergeCell ref="AI238:AI243"/>
    <mergeCell ref="AJ238:AJ243"/>
    <mergeCell ref="AK238:AK243"/>
    <mergeCell ref="AL238:AL243"/>
    <mergeCell ref="AM238:AM243"/>
    <mergeCell ref="AQ232:AQ237"/>
    <mergeCell ref="AR232:AR237"/>
    <mergeCell ref="AS232:AS237"/>
    <mergeCell ref="AT232:AT237"/>
    <mergeCell ref="AU232:AU237"/>
    <mergeCell ref="AV232:AV237"/>
    <mergeCell ref="AW244:AW249"/>
    <mergeCell ref="AX244:AX249"/>
    <mergeCell ref="A250:A381"/>
    <mergeCell ref="B250:B381"/>
    <mergeCell ref="C250:C255"/>
    <mergeCell ref="AF250:AF255"/>
    <mergeCell ref="AG250:AG255"/>
    <mergeCell ref="AH250:AH255"/>
    <mergeCell ref="AI250:AI255"/>
    <mergeCell ref="AQ244:AQ249"/>
    <mergeCell ref="AR244:AR249"/>
    <mergeCell ref="AS244:AS249"/>
    <mergeCell ref="AT244:AT249"/>
    <mergeCell ref="AU244:AU249"/>
    <mergeCell ref="AV244:AV249"/>
    <mergeCell ref="AK244:AK249"/>
    <mergeCell ref="AL244:AL249"/>
    <mergeCell ref="AM244:AM249"/>
    <mergeCell ref="AN244:AN249"/>
    <mergeCell ref="AO244:AO249"/>
    <mergeCell ref="AP244:AP249"/>
    <mergeCell ref="AO256:AO261"/>
    <mergeCell ref="AP256:AP261"/>
    <mergeCell ref="AV250:AV255"/>
    <mergeCell ref="AW250:AW255"/>
    <mergeCell ref="AX250:AX255"/>
    <mergeCell ref="AY250:AY279"/>
    <mergeCell ref="C256:C261"/>
    <mergeCell ref="AF256:AF261"/>
    <mergeCell ref="AG256:AG261"/>
    <mergeCell ref="AH256:AH261"/>
    <mergeCell ref="AI256:AI261"/>
    <mergeCell ref="AJ256:AJ261"/>
    <mergeCell ref="AP250:AP255"/>
    <mergeCell ref="AQ250:AQ255"/>
    <mergeCell ref="AR250:AR255"/>
    <mergeCell ref="AS250:AS255"/>
    <mergeCell ref="AT250:AT255"/>
    <mergeCell ref="AU250:AU255"/>
    <mergeCell ref="AJ250:AJ255"/>
    <mergeCell ref="AK250:AK255"/>
    <mergeCell ref="AL250:AL255"/>
    <mergeCell ref="AM250:AM255"/>
    <mergeCell ref="AN250:AN255"/>
    <mergeCell ref="AO250:AO255"/>
    <mergeCell ref="AS262:AS267"/>
    <mergeCell ref="AT262:AT267"/>
    <mergeCell ref="AU262:AU267"/>
    <mergeCell ref="AV262:AV267"/>
    <mergeCell ref="AW262:AW267"/>
    <mergeCell ref="AX262:AX267"/>
    <mergeCell ref="AM262:AM267"/>
    <mergeCell ref="AN262:AN267"/>
    <mergeCell ref="AO262:AO267"/>
    <mergeCell ref="AP262:AP267"/>
    <mergeCell ref="AQ262:AQ267"/>
    <mergeCell ref="AR262:AR267"/>
    <mergeCell ref="AW256:AW261"/>
    <mergeCell ref="AX256:AX261"/>
    <mergeCell ref="C262:C267"/>
    <mergeCell ref="AF262:AF267"/>
    <mergeCell ref="AG262:AG267"/>
    <mergeCell ref="AH262:AH267"/>
    <mergeCell ref="AI262:AI267"/>
    <mergeCell ref="AJ262:AJ267"/>
    <mergeCell ref="AK262:AK267"/>
    <mergeCell ref="AL262:AL267"/>
    <mergeCell ref="AQ256:AQ261"/>
    <mergeCell ref="AR256:AR261"/>
    <mergeCell ref="AS256:AS261"/>
    <mergeCell ref="AT256:AT261"/>
    <mergeCell ref="AU256:AU261"/>
    <mergeCell ref="AV256:AV261"/>
    <mergeCell ref="AK256:AK261"/>
    <mergeCell ref="AL256:AL261"/>
    <mergeCell ref="AM256:AM261"/>
    <mergeCell ref="AN256:AN261"/>
    <mergeCell ref="AW268:AW273"/>
    <mergeCell ref="AX268:AX273"/>
    <mergeCell ref="C274:C279"/>
    <mergeCell ref="AF274:AF279"/>
    <mergeCell ref="AG274:AG279"/>
    <mergeCell ref="AH274:AH279"/>
    <mergeCell ref="AI274:AI279"/>
    <mergeCell ref="AJ274:AJ279"/>
    <mergeCell ref="AK274:AK279"/>
    <mergeCell ref="AL274:AL279"/>
    <mergeCell ref="AQ268:AQ273"/>
    <mergeCell ref="AR268:AR273"/>
    <mergeCell ref="AS268:AS273"/>
    <mergeCell ref="AT268:AT273"/>
    <mergeCell ref="AU268:AU273"/>
    <mergeCell ref="AV268:AV273"/>
    <mergeCell ref="AK268:AK273"/>
    <mergeCell ref="AL268:AL273"/>
    <mergeCell ref="AM268:AM273"/>
    <mergeCell ref="AN268:AN273"/>
    <mergeCell ref="AO268:AO273"/>
    <mergeCell ref="AP268:AP273"/>
    <mergeCell ref="C268:C273"/>
    <mergeCell ref="AF268:AF273"/>
    <mergeCell ref="AG268:AG273"/>
    <mergeCell ref="AH268:AH273"/>
    <mergeCell ref="AI268:AI273"/>
    <mergeCell ref="AJ268:AJ273"/>
    <mergeCell ref="AO280:AO285"/>
    <mergeCell ref="AP280:AP285"/>
    <mergeCell ref="C280:C285"/>
    <mergeCell ref="AF280:AF285"/>
    <mergeCell ref="AG280:AG285"/>
    <mergeCell ref="AH280:AH285"/>
    <mergeCell ref="AI280:AI285"/>
    <mergeCell ref="AJ280:AJ285"/>
    <mergeCell ref="AS274:AS279"/>
    <mergeCell ref="AT274:AT279"/>
    <mergeCell ref="AU274:AU279"/>
    <mergeCell ref="AV274:AV279"/>
    <mergeCell ref="AW274:AW279"/>
    <mergeCell ref="AX274:AX279"/>
    <mergeCell ref="AM274:AM279"/>
    <mergeCell ref="AN274:AN279"/>
    <mergeCell ref="AO274:AO279"/>
    <mergeCell ref="AP274:AP279"/>
    <mergeCell ref="AQ274:AQ279"/>
    <mergeCell ref="AR274:AR279"/>
    <mergeCell ref="AS286:AS291"/>
    <mergeCell ref="AT286:AT291"/>
    <mergeCell ref="AU286:AU291"/>
    <mergeCell ref="AV286:AV291"/>
    <mergeCell ref="AW286:AW291"/>
    <mergeCell ref="AX286:AX291"/>
    <mergeCell ref="AM286:AM291"/>
    <mergeCell ref="AN286:AN291"/>
    <mergeCell ref="AO286:AO291"/>
    <mergeCell ref="AP286:AP291"/>
    <mergeCell ref="AQ286:AQ291"/>
    <mergeCell ref="AR286:AR291"/>
    <mergeCell ref="AW280:AW285"/>
    <mergeCell ref="AX280:AX285"/>
    <mergeCell ref="C286:C291"/>
    <mergeCell ref="AF286:AF291"/>
    <mergeCell ref="AG286:AG291"/>
    <mergeCell ref="AH286:AH291"/>
    <mergeCell ref="AI286:AI291"/>
    <mergeCell ref="AJ286:AJ291"/>
    <mergeCell ref="AK286:AK291"/>
    <mergeCell ref="AL286:AL291"/>
    <mergeCell ref="AQ280:AQ285"/>
    <mergeCell ref="AR280:AR285"/>
    <mergeCell ref="AS280:AS285"/>
    <mergeCell ref="AT280:AT285"/>
    <mergeCell ref="AU280:AU285"/>
    <mergeCell ref="AV280:AV285"/>
    <mergeCell ref="AK280:AK285"/>
    <mergeCell ref="AL280:AL285"/>
    <mergeCell ref="AM280:AM285"/>
    <mergeCell ref="AN280:AN285"/>
    <mergeCell ref="AW292:AW297"/>
    <mergeCell ref="AX292:AX297"/>
    <mergeCell ref="C298:C303"/>
    <mergeCell ref="AF298:AF303"/>
    <mergeCell ref="AG298:AG303"/>
    <mergeCell ref="AH298:AH303"/>
    <mergeCell ref="AI298:AI303"/>
    <mergeCell ref="AJ298:AJ303"/>
    <mergeCell ref="AK298:AK303"/>
    <mergeCell ref="AL298:AL303"/>
    <mergeCell ref="AQ292:AQ297"/>
    <mergeCell ref="AR292:AR297"/>
    <mergeCell ref="AS292:AS297"/>
    <mergeCell ref="AT292:AT297"/>
    <mergeCell ref="AU292:AU297"/>
    <mergeCell ref="AV292:AV297"/>
    <mergeCell ref="AK292:AK297"/>
    <mergeCell ref="AL292:AL297"/>
    <mergeCell ref="AM292:AM297"/>
    <mergeCell ref="AN292:AN297"/>
    <mergeCell ref="AO292:AO297"/>
    <mergeCell ref="AP292:AP297"/>
    <mergeCell ref="C292:C297"/>
    <mergeCell ref="AF292:AF297"/>
    <mergeCell ref="AG292:AG297"/>
    <mergeCell ref="AH292:AH297"/>
    <mergeCell ref="AI292:AI297"/>
    <mergeCell ref="AJ292:AJ297"/>
    <mergeCell ref="AO304:AO309"/>
    <mergeCell ref="AP304:AP309"/>
    <mergeCell ref="C304:C309"/>
    <mergeCell ref="AF304:AF309"/>
    <mergeCell ref="AG304:AG309"/>
    <mergeCell ref="AH304:AH309"/>
    <mergeCell ref="AI304:AI309"/>
    <mergeCell ref="AJ304:AJ309"/>
    <mergeCell ref="AS298:AS303"/>
    <mergeCell ref="AT298:AT303"/>
    <mergeCell ref="AU298:AU303"/>
    <mergeCell ref="AV298:AV303"/>
    <mergeCell ref="AW298:AW303"/>
    <mergeCell ref="AX298:AX303"/>
    <mergeCell ref="AM298:AM303"/>
    <mergeCell ref="AN298:AN303"/>
    <mergeCell ref="AO298:AO303"/>
    <mergeCell ref="AP298:AP303"/>
    <mergeCell ref="AQ298:AQ303"/>
    <mergeCell ref="AR298:AR303"/>
    <mergeCell ref="AS310:AS315"/>
    <mergeCell ref="AT310:AT315"/>
    <mergeCell ref="AU310:AU315"/>
    <mergeCell ref="AV310:AV315"/>
    <mergeCell ref="AW310:AW315"/>
    <mergeCell ref="AX310:AX315"/>
    <mergeCell ref="AM310:AM315"/>
    <mergeCell ref="AN310:AN315"/>
    <mergeCell ref="AO310:AO315"/>
    <mergeCell ref="AP310:AP315"/>
    <mergeCell ref="AQ310:AQ315"/>
    <mergeCell ref="AR310:AR315"/>
    <mergeCell ref="AW304:AW309"/>
    <mergeCell ref="AX304:AX309"/>
    <mergeCell ref="C310:C315"/>
    <mergeCell ref="AF310:AF315"/>
    <mergeCell ref="AG310:AG315"/>
    <mergeCell ref="AH310:AH315"/>
    <mergeCell ref="AI310:AI315"/>
    <mergeCell ref="AJ310:AJ315"/>
    <mergeCell ref="AK310:AK315"/>
    <mergeCell ref="AL310:AL315"/>
    <mergeCell ref="AQ304:AQ309"/>
    <mergeCell ref="AR304:AR309"/>
    <mergeCell ref="AS304:AS309"/>
    <mergeCell ref="AT304:AT309"/>
    <mergeCell ref="AU304:AU309"/>
    <mergeCell ref="AV304:AV309"/>
    <mergeCell ref="AK304:AK309"/>
    <mergeCell ref="AL304:AL309"/>
    <mergeCell ref="AM304:AM309"/>
    <mergeCell ref="AN304:AN309"/>
    <mergeCell ref="AW316:AW321"/>
    <mergeCell ref="AX316:AX321"/>
    <mergeCell ref="C322:C327"/>
    <mergeCell ref="AF322:AF327"/>
    <mergeCell ref="AG322:AG327"/>
    <mergeCell ref="AH322:AH327"/>
    <mergeCell ref="AI322:AI327"/>
    <mergeCell ref="AJ322:AJ327"/>
    <mergeCell ref="AK322:AK327"/>
    <mergeCell ref="AL322:AL327"/>
    <mergeCell ref="AQ316:AQ321"/>
    <mergeCell ref="AR316:AR321"/>
    <mergeCell ref="AS316:AS321"/>
    <mergeCell ref="AT316:AT321"/>
    <mergeCell ref="AU316:AU321"/>
    <mergeCell ref="AV316:AV321"/>
    <mergeCell ref="AK316:AK321"/>
    <mergeCell ref="AL316:AL321"/>
    <mergeCell ref="AM316:AM321"/>
    <mergeCell ref="AN316:AN321"/>
    <mergeCell ref="AO316:AO321"/>
    <mergeCell ref="AP316:AP321"/>
    <mergeCell ref="C316:C321"/>
    <mergeCell ref="AF316:AF321"/>
    <mergeCell ref="AG316:AG321"/>
    <mergeCell ref="AH316:AH321"/>
    <mergeCell ref="AI316:AI321"/>
    <mergeCell ref="AJ316:AJ321"/>
    <mergeCell ref="AO328:AO333"/>
    <mergeCell ref="AP328:AP333"/>
    <mergeCell ref="C328:C333"/>
    <mergeCell ref="AF328:AF333"/>
    <mergeCell ref="AG328:AG333"/>
    <mergeCell ref="AH328:AH333"/>
    <mergeCell ref="AI328:AI333"/>
    <mergeCell ref="AJ328:AJ333"/>
    <mergeCell ref="AS322:AS327"/>
    <mergeCell ref="AT322:AT327"/>
    <mergeCell ref="AU322:AU327"/>
    <mergeCell ref="AV322:AV327"/>
    <mergeCell ref="AW322:AW327"/>
    <mergeCell ref="AX322:AX327"/>
    <mergeCell ref="AM322:AM327"/>
    <mergeCell ref="AN322:AN327"/>
    <mergeCell ref="AO322:AO327"/>
    <mergeCell ref="AP322:AP327"/>
    <mergeCell ref="AQ322:AQ327"/>
    <mergeCell ref="AR322:AR327"/>
    <mergeCell ref="AS334:AS339"/>
    <mergeCell ref="AT334:AT339"/>
    <mergeCell ref="AU334:AU339"/>
    <mergeCell ref="AV334:AV339"/>
    <mergeCell ref="AW334:AW339"/>
    <mergeCell ref="AX334:AX339"/>
    <mergeCell ref="AM334:AM339"/>
    <mergeCell ref="AN334:AN339"/>
    <mergeCell ref="AO334:AO339"/>
    <mergeCell ref="AP334:AP339"/>
    <mergeCell ref="AQ334:AQ339"/>
    <mergeCell ref="AR334:AR339"/>
    <mergeCell ref="AW328:AW333"/>
    <mergeCell ref="AX328:AX333"/>
    <mergeCell ref="C334:C339"/>
    <mergeCell ref="AF334:AF339"/>
    <mergeCell ref="AG334:AG339"/>
    <mergeCell ref="AH334:AH339"/>
    <mergeCell ref="AI334:AI339"/>
    <mergeCell ref="AJ334:AJ339"/>
    <mergeCell ref="AK334:AK339"/>
    <mergeCell ref="AL334:AL339"/>
    <mergeCell ref="AQ328:AQ333"/>
    <mergeCell ref="AR328:AR333"/>
    <mergeCell ref="AS328:AS333"/>
    <mergeCell ref="AT328:AT333"/>
    <mergeCell ref="AU328:AU333"/>
    <mergeCell ref="AV328:AV333"/>
    <mergeCell ref="AK328:AK333"/>
    <mergeCell ref="AL328:AL333"/>
    <mergeCell ref="AM328:AM333"/>
    <mergeCell ref="AN328:AN333"/>
    <mergeCell ref="C346:C351"/>
    <mergeCell ref="AF346:AF351"/>
    <mergeCell ref="AG346:AG351"/>
    <mergeCell ref="AH346:AH351"/>
    <mergeCell ref="AI346:AI351"/>
    <mergeCell ref="AJ346:AJ351"/>
    <mergeCell ref="AK346:AK351"/>
    <mergeCell ref="AL346:AL351"/>
    <mergeCell ref="AQ340:AQ345"/>
    <mergeCell ref="AR340:AR345"/>
    <mergeCell ref="AS340:AS345"/>
    <mergeCell ref="AT340:AT345"/>
    <mergeCell ref="AU340:AU345"/>
    <mergeCell ref="AV340:AV345"/>
    <mergeCell ref="AK340:AK345"/>
    <mergeCell ref="AL340:AL345"/>
    <mergeCell ref="AM340:AM345"/>
    <mergeCell ref="AN340:AN345"/>
    <mergeCell ref="AO340:AO345"/>
    <mergeCell ref="AP340:AP345"/>
    <mergeCell ref="C340:C345"/>
    <mergeCell ref="AF340:AF345"/>
    <mergeCell ref="AG340:AG345"/>
    <mergeCell ref="AH340:AH345"/>
    <mergeCell ref="AI340:AI345"/>
    <mergeCell ref="AJ340:AJ345"/>
    <mergeCell ref="AH352:AH357"/>
    <mergeCell ref="AI352:AI357"/>
    <mergeCell ref="AJ352:AJ357"/>
    <mergeCell ref="AS346:AS351"/>
    <mergeCell ref="AT346:AT351"/>
    <mergeCell ref="AU346:AU351"/>
    <mergeCell ref="AV346:AV351"/>
    <mergeCell ref="AW346:AW351"/>
    <mergeCell ref="AX346:AX351"/>
    <mergeCell ref="AM346:AM351"/>
    <mergeCell ref="AN346:AN351"/>
    <mergeCell ref="AO346:AO351"/>
    <mergeCell ref="AP346:AP351"/>
    <mergeCell ref="AQ346:AQ351"/>
    <mergeCell ref="AR346:AR351"/>
    <mergeCell ref="AW340:AW345"/>
    <mergeCell ref="AX340:AX345"/>
    <mergeCell ref="AX358:AX363"/>
    <mergeCell ref="AM358:AM363"/>
    <mergeCell ref="AN358:AN363"/>
    <mergeCell ref="AO358:AO363"/>
    <mergeCell ref="AP358:AP363"/>
    <mergeCell ref="AQ358:AQ363"/>
    <mergeCell ref="AR358:AR363"/>
    <mergeCell ref="AW352:AW357"/>
    <mergeCell ref="AX352:AX357"/>
    <mergeCell ref="C358:C363"/>
    <mergeCell ref="AF358:AF363"/>
    <mergeCell ref="AG358:AG363"/>
    <mergeCell ref="AH358:AH363"/>
    <mergeCell ref="AI358:AI363"/>
    <mergeCell ref="AJ358:AJ363"/>
    <mergeCell ref="AK358:AK363"/>
    <mergeCell ref="AL358:AL363"/>
    <mergeCell ref="AQ352:AQ357"/>
    <mergeCell ref="AR352:AR357"/>
    <mergeCell ref="AS352:AS357"/>
    <mergeCell ref="AT352:AT357"/>
    <mergeCell ref="AU352:AU357"/>
    <mergeCell ref="AV352:AV357"/>
    <mergeCell ref="AK352:AK357"/>
    <mergeCell ref="AL352:AL357"/>
    <mergeCell ref="AM352:AM357"/>
    <mergeCell ref="AN352:AN357"/>
    <mergeCell ref="AO352:AO357"/>
    <mergeCell ref="AP352:AP357"/>
    <mergeCell ref="C352:C357"/>
    <mergeCell ref="AF352:AF357"/>
    <mergeCell ref="AG352:AG357"/>
    <mergeCell ref="AK364:AK369"/>
    <mergeCell ref="AL364:AL369"/>
    <mergeCell ref="AM364:AM369"/>
    <mergeCell ref="AN364:AN369"/>
    <mergeCell ref="AO364:AO369"/>
    <mergeCell ref="AP364:AP369"/>
    <mergeCell ref="C364:C369"/>
    <mergeCell ref="AF364:AF369"/>
    <mergeCell ref="AG364:AG369"/>
    <mergeCell ref="AH364:AH369"/>
    <mergeCell ref="AI364:AI369"/>
    <mergeCell ref="AJ364:AJ369"/>
    <mergeCell ref="AS358:AS363"/>
    <mergeCell ref="AT358:AT363"/>
    <mergeCell ref="AU358:AU363"/>
    <mergeCell ref="AV358:AV363"/>
    <mergeCell ref="AW358:AW363"/>
    <mergeCell ref="AT370:AT375"/>
    <mergeCell ref="AU370:AU375"/>
    <mergeCell ref="AV370:AV375"/>
    <mergeCell ref="AW370:AW375"/>
    <mergeCell ref="AX370:AX375"/>
    <mergeCell ref="C376:C381"/>
    <mergeCell ref="AG376:AG381"/>
    <mergeCell ref="AH376:AH381"/>
    <mergeCell ref="AI376:AI381"/>
    <mergeCell ref="AJ376:AJ381"/>
    <mergeCell ref="AN370:AN375"/>
    <mergeCell ref="AO370:AO375"/>
    <mergeCell ref="AP370:AP375"/>
    <mergeCell ref="AQ370:AQ375"/>
    <mergeCell ref="AR370:AR375"/>
    <mergeCell ref="AS370:AS375"/>
    <mergeCell ref="AW364:AW369"/>
    <mergeCell ref="AX364:AX369"/>
    <mergeCell ref="C370:C375"/>
    <mergeCell ref="AG370:AG375"/>
    <mergeCell ref="AH370:AH375"/>
    <mergeCell ref="AI370:AI375"/>
    <mergeCell ref="AJ370:AJ375"/>
    <mergeCell ref="AK370:AK375"/>
    <mergeCell ref="AL370:AL375"/>
    <mergeCell ref="AM370:AM375"/>
    <mergeCell ref="AQ364:AQ369"/>
    <mergeCell ref="AR364:AR369"/>
    <mergeCell ref="AS364:AS369"/>
    <mergeCell ref="AT364:AT369"/>
    <mergeCell ref="AU364:AU369"/>
    <mergeCell ref="AV364:AV369"/>
    <mergeCell ref="AW376:AW381"/>
    <mergeCell ref="AX376:AX381"/>
    <mergeCell ref="A382:A393"/>
    <mergeCell ref="B382:B393"/>
    <mergeCell ref="C382:C387"/>
    <mergeCell ref="AF382:AF393"/>
    <mergeCell ref="AG382:AG387"/>
    <mergeCell ref="AH382:AH387"/>
    <mergeCell ref="AI382:AI387"/>
    <mergeCell ref="AQ376:AQ381"/>
    <mergeCell ref="AR376:AR381"/>
    <mergeCell ref="AS376:AS381"/>
    <mergeCell ref="AT376:AT381"/>
    <mergeCell ref="AU376:AU381"/>
    <mergeCell ref="AV376:AV381"/>
    <mergeCell ref="AK376:AK381"/>
    <mergeCell ref="AL376:AL381"/>
    <mergeCell ref="AM376:AM381"/>
    <mergeCell ref="AN376:AN381"/>
    <mergeCell ref="AO376:AO381"/>
    <mergeCell ref="AP376:AP381"/>
    <mergeCell ref="AV382:AV387"/>
    <mergeCell ref="AW382:AW387"/>
    <mergeCell ref="AX382:AX387"/>
    <mergeCell ref="AY382:AY387"/>
    <mergeCell ref="C388:C393"/>
    <mergeCell ref="AG388:AG393"/>
    <mergeCell ref="AH388:AH393"/>
    <mergeCell ref="AI388:AI393"/>
    <mergeCell ref="AJ388:AJ393"/>
    <mergeCell ref="AK388:AK393"/>
    <mergeCell ref="AP382:AP387"/>
    <mergeCell ref="AQ382:AQ387"/>
    <mergeCell ref="AR382:AR387"/>
    <mergeCell ref="AS382:AS387"/>
    <mergeCell ref="AT382:AT387"/>
    <mergeCell ref="AU382:AU387"/>
    <mergeCell ref="AJ382:AJ387"/>
    <mergeCell ref="AK382:AK387"/>
    <mergeCell ref="AL382:AL387"/>
    <mergeCell ref="AM382:AM387"/>
    <mergeCell ref="AN382:AN387"/>
    <mergeCell ref="AO382:AO387"/>
    <mergeCell ref="AX388:AX393"/>
    <mergeCell ref="A394:A531"/>
    <mergeCell ref="B394:B531"/>
    <mergeCell ref="C394:C399"/>
    <mergeCell ref="AF394:AF399"/>
    <mergeCell ref="AG394:AG399"/>
    <mergeCell ref="AH394:AH399"/>
    <mergeCell ref="AI394:AI399"/>
    <mergeCell ref="AJ394:AJ399"/>
    <mergeCell ref="AR388:AR393"/>
    <mergeCell ref="AS388:AS393"/>
    <mergeCell ref="AT388:AT393"/>
    <mergeCell ref="AU388:AU393"/>
    <mergeCell ref="AV388:AV393"/>
    <mergeCell ref="AW388:AW393"/>
    <mergeCell ref="AL388:AL393"/>
    <mergeCell ref="AM388:AM393"/>
    <mergeCell ref="AN388:AN393"/>
    <mergeCell ref="AO388:AO393"/>
    <mergeCell ref="AP388:AP393"/>
    <mergeCell ref="AQ388:AQ393"/>
    <mergeCell ref="AW394:AW399"/>
    <mergeCell ref="AX394:AX399"/>
    <mergeCell ref="AY394:AY399"/>
    <mergeCell ref="C400:C405"/>
    <mergeCell ref="AF400:AF405"/>
    <mergeCell ref="AG400:AG405"/>
    <mergeCell ref="AH400:AH405"/>
    <mergeCell ref="AI400:AI405"/>
    <mergeCell ref="AJ400:AJ405"/>
    <mergeCell ref="AK400:AK405"/>
    <mergeCell ref="AQ394:AQ399"/>
    <mergeCell ref="AR394:AR399"/>
    <mergeCell ref="AS394:AS399"/>
    <mergeCell ref="AT394:AT399"/>
    <mergeCell ref="AU394:AU399"/>
    <mergeCell ref="AV394:AV399"/>
    <mergeCell ref="AK394:AK399"/>
    <mergeCell ref="AL394:AL399"/>
    <mergeCell ref="AM394:AM399"/>
    <mergeCell ref="AN394:AN399"/>
    <mergeCell ref="AO394:AO399"/>
    <mergeCell ref="AP394:AP399"/>
    <mergeCell ref="AQ406:AQ411"/>
    <mergeCell ref="AR406:AR411"/>
    <mergeCell ref="AX400:AX405"/>
    <mergeCell ref="AY400:AY405"/>
    <mergeCell ref="C406:C411"/>
    <mergeCell ref="AF406:AF411"/>
    <mergeCell ref="AG406:AG411"/>
    <mergeCell ref="AH406:AH411"/>
    <mergeCell ref="AI406:AI411"/>
    <mergeCell ref="AJ406:AJ411"/>
    <mergeCell ref="AK406:AK411"/>
    <mergeCell ref="AL406:AL411"/>
    <mergeCell ref="AR400:AR405"/>
    <mergeCell ref="AS400:AS405"/>
    <mergeCell ref="AT400:AT405"/>
    <mergeCell ref="AU400:AU405"/>
    <mergeCell ref="AV400:AV405"/>
    <mergeCell ref="AW400:AW405"/>
    <mergeCell ref="AL400:AL405"/>
    <mergeCell ref="AM400:AM405"/>
    <mergeCell ref="AN400:AN405"/>
    <mergeCell ref="AO400:AO405"/>
    <mergeCell ref="AP400:AP405"/>
    <mergeCell ref="AQ400:AQ405"/>
    <mergeCell ref="AT412:AT417"/>
    <mergeCell ref="AU412:AU417"/>
    <mergeCell ref="AV412:AV417"/>
    <mergeCell ref="AW412:AW417"/>
    <mergeCell ref="AX412:AX417"/>
    <mergeCell ref="AY412:AY417"/>
    <mergeCell ref="AN412:AN417"/>
    <mergeCell ref="AO412:AO417"/>
    <mergeCell ref="AP412:AP417"/>
    <mergeCell ref="AQ412:AQ417"/>
    <mergeCell ref="AR412:AR417"/>
    <mergeCell ref="AS412:AS417"/>
    <mergeCell ref="AY406:AY411"/>
    <mergeCell ref="C412:C417"/>
    <mergeCell ref="AF412:AF417"/>
    <mergeCell ref="AG412:AG417"/>
    <mergeCell ref="AH412:AH417"/>
    <mergeCell ref="AI412:AI417"/>
    <mergeCell ref="AJ412:AJ417"/>
    <mergeCell ref="AK412:AK417"/>
    <mergeCell ref="AL412:AL417"/>
    <mergeCell ref="AM412:AM417"/>
    <mergeCell ref="AS406:AS411"/>
    <mergeCell ref="AT406:AT411"/>
    <mergeCell ref="AU406:AU411"/>
    <mergeCell ref="AV406:AV411"/>
    <mergeCell ref="AW406:AW411"/>
    <mergeCell ref="AX406:AX411"/>
    <mergeCell ref="AM406:AM411"/>
    <mergeCell ref="AN406:AN411"/>
    <mergeCell ref="AO406:AO411"/>
    <mergeCell ref="AP406:AP411"/>
    <mergeCell ref="AW418:AW423"/>
    <mergeCell ref="AX418:AX423"/>
    <mergeCell ref="AY418:AY423"/>
    <mergeCell ref="C424:C429"/>
    <mergeCell ref="AF424:AF429"/>
    <mergeCell ref="AG424:AG429"/>
    <mergeCell ref="AH424:AH429"/>
    <mergeCell ref="AI424:AI429"/>
    <mergeCell ref="AJ424:AJ429"/>
    <mergeCell ref="AK424:AK429"/>
    <mergeCell ref="AQ418:AQ423"/>
    <mergeCell ref="AR418:AR423"/>
    <mergeCell ref="AS418:AS423"/>
    <mergeCell ref="AT418:AT423"/>
    <mergeCell ref="AU418:AU423"/>
    <mergeCell ref="AV418:AV423"/>
    <mergeCell ref="AK418:AK423"/>
    <mergeCell ref="AL418:AL423"/>
    <mergeCell ref="AM418:AM423"/>
    <mergeCell ref="AN418:AN423"/>
    <mergeCell ref="AO418:AO423"/>
    <mergeCell ref="AP418:AP423"/>
    <mergeCell ref="C418:C423"/>
    <mergeCell ref="AF418:AF423"/>
    <mergeCell ref="AG418:AG423"/>
    <mergeCell ref="AH418:AH423"/>
    <mergeCell ref="AI418:AI423"/>
    <mergeCell ref="AJ418:AJ423"/>
    <mergeCell ref="AQ430:AQ435"/>
    <mergeCell ref="AR430:AR435"/>
    <mergeCell ref="AX424:AX429"/>
    <mergeCell ref="AY424:AY429"/>
    <mergeCell ref="C430:C435"/>
    <mergeCell ref="AF430:AF435"/>
    <mergeCell ref="AG430:AG435"/>
    <mergeCell ref="AH430:AH435"/>
    <mergeCell ref="AI430:AI435"/>
    <mergeCell ref="AJ430:AJ435"/>
    <mergeCell ref="AK430:AK435"/>
    <mergeCell ref="AL430:AL435"/>
    <mergeCell ref="AR424:AR429"/>
    <mergeCell ref="AS424:AS429"/>
    <mergeCell ref="AT424:AT429"/>
    <mergeCell ref="AU424:AU429"/>
    <mergeCell ref="AV424:AV429"/>
    <mergeCell ref="AW424:AW429"/>
    <mergeCell ref="AL424:AL429"/>
    <mergeCell ref="AM424:AM429"/>
    <mergeCell ref="AN424:AN429"/>
    <mergeCell ref="AO424:AO429"/>
    <mergeCell ref="AP424:AP429"/>
    <mergeCell ref="AQ424:AQ429"/>
    <mergeCell ref="AT436:AT441"/>
    <mergeCell ref="AU436:AU441"/>
    <mergeCell ref="AV436:AV441"/>
    <mergeCell ref="AW436:AW441"/>
    <mergeCell ref="AX436:AX441"/>
    <mergeCell ref="AY436:AY441"/>
    <mergeCell ref="AN436:AN441"/>
    <mergeCell ref="AO436:AO441"/>
    <mergeCell ref="AP436:AP441"/>
    <mergeCell ref="AQ436:AQ441"/>
    <mergeCell ref="AR436:AR441"/>
    <mergeCell ref="AS436:AS441"/>
    <mergeCell ref="AY430:AY435"/>
    <mergeCell ref="C436:C441"/>
    <mergeCell ref="AF436:AF441"/>
    <mergeCell ref="AG436:AG441"/>
    <mergeCell ref="AH436:AH441"/>
    <mergeCell ref="AI436:AI441"/>
    <mergeCell ref="AJ436:AJ441"/>
    <mergeCell ref="AK436:AK441"/>
    <mergeCell ref="AL436:AL441"/>
    <mergeCell ref="AM436:AM441"/>
    <mergeCell ref="AS430:AS435"/>
    <mergeCell ref="AT430:AT435"/>
    <mergeCell ref="AU430:AU435"/>
    <mergeCell ref="AV430:AV435"/>
    <mergeCell ref="AW430:AW435"/>
    <mergeCell ref="AX430:AX435"/>
    <mergeCell ref="AM430:AM435"/>
    <mergeCell ref="AN430:AN435"/>
    <mergeCell ref="AO430:AO435"/>
    <mergeCell ref="AP430:AP435"/>
    <mergeCell ref="AW442:AW447"/>
    <mergeCell ref="AX442:AX447"/>
    <mergeCell ref="AY442:AY447"/>
    <mergeCell ref="C448:C453"/>
    <mergeCell ref="AF448:AF453"/>
    <mergeCell ref="AG448:AG453"/>
    <mergeCell ref="AH448:AH453"/>
    <mergeCell ref="AI448:AI453"/>
    <mergeCell ref="AJ448:AJ453"/>
    <mergeCell ref="AK448:AK453"/>
    <mergeCell ref="AQ442:AQ447"/>
    <mergeCell ref="AR442:AR447"/>
    <mergeCell ref="AS442:AS447"/>
    <mergeCell ref="AT442:AT447"/>
    <mergeCell ref="AU442:AU447"/>
    <mergeCell ref="AV442:AV447"/>
    <mergeCell ref="AK442:AK447"/>
    <mergeCell ref="AL442:AL447"/>
    <mergeCell ref="AM442:AM447"/>
    <mergeCell ref="AN442:AN447"/>
    <mergeCell ref="AO442:AO447"/>
    <mergeCell ref="AP442:AP447"/>
    <mergeCell ref="C442:C447"/>
    <mergeCell ref="AF442:AF447"/>
    <mergeCell ref="AG442:AG447"/>
    <mergeCell ref="AH442:AH447"/>
    <mergeCell ref="AI442:AI447"/>
    <mergeCell ref="AJ442:AJ447"/>
    <mergeCell ref="AQ454:AQ459"/>
    <mergeCell ref="AR454:AR459"/>
    <mergeCell ref="AX448:AX453"/>
    <mergeCell ref="AY448:AY453"/>
    <mergeCell ref="C454:C459"/>
    <mergeCell ref="AF454:AF459"/>
    <mergeCell ref="AG454:AG459"/>
    <mergeCell ref="AH454:AH459"/>
    <mergeCell ref="AI454:AI459"/>
    <mergeCell ref="AJ454:AJ459"/>
    <mergeCell ref="AK454:AK459"/>
    <mergeCell ref="AL454:AL459"/>
    <mergeCell ref="AR448:AR453"/>
    <mergeCell ref="AS448:AS453"/>
    <mergeCell ref="AT448:AT453"/>
    <mergeCell ref="AU448:AU453"/>
    <mergeCell ref="AV448:AV453"/>
    <mergeCell ref="AW448:AW453"/>
    <mergeCell ref="AL448:AL453"/>
    <mergeCell ref="AM448:AM453"/>
    <mergeCell ref="AN448:AN453"/>
    <mergeCell ref="AO448:AO453"/>
    <mergeCell ref="AP448:AP453"/>
    <mergeCell ref="AQ448:AQ453"/>
    <mergeCell ref="AT460:AT465"/>
    <mergeCell ref="AU460:AU465"/>
    <mergeCell ref="AV460:AV465"/>
    <mergeCell ref="AW460:AW465"/>
    <mergeCell ref="AX460:AX465"/>
    <mergeCell ref="AY460:AY465"/>
    <mergeCell ref="AN460:AN465"/>
    <mergeCell ref="AO460:AO465"/>
    <mergeCell ref="AP460:AP465"/>
    <mergeCell ref="AQ460:AQ465"/>
    <mergeCell ref="AR460:AR465"/>
    <mergeCell ref="AS460:AS465"/>
    <mergeCell ref="AY454:AY459"/>
    <mergeCell ref="C460:C465"/>
    <mergeCell ref="AF460:AF465"/>
    <mergeCell ref="AG460:AG465"/>
    <mergeCell ref="AH460:AH465"/>
    <mergeCell ref="AI460:AI465"/>
    <mergeCell ref="AJ460:AJ465"/>
    <mergeCell ref="AK460:AK465"/>
    <mergeCell ref="AL460:AL465"/>
    <mergeCell ref="AM460:AM465"/>
    <mergeCell ref="AS454:AS459"/>
    <mergeCell ref="AT454:AT459"/>
    <mergeCell ref="AU454:AU459"/>
    <mergeCell ref="AV454:AV459"/>
    <mergeCell ref="AW454:AW459"/>
    <mergeCell ref="AX454:AX459"/>
    <mergeCell ref="AM454:AM459"/>
    <mergeCell ref="AN454:AN459"/>
    <mergeCell ref="AO454:AO459"/>
    <mergeCell ref="AP454:AP459"/>
    <mergeCell ref="AW466:AW471"/>
    <mergeCell ref="AX466:AX471"/>
    <mergeCell ref="AY466:AY471"/>
    <mergeCell ref="C472:C477"/>
    <mergeCell ref="AF472:AF477"/>
    <mergeCell ref="AG472:AG477"/>
    <mergeCell ref="AH472:AH477"/>
    <mergeCell ref="AI472:AI477"/>
    <mergeCell ref="AJ472:AJ477"/>
    <mergeCell ref="AK472:AK477"/>
    <mergeCell ref="AQ466:AQ471"/>
    <mergeCell ref="AR466:AR471"/>
    <mergeCell ref="AS466:AS471"/>
    <mergeCell ref="AT466:AT471"/>
    <mergeCell ref="AU466:AU471"/>
    <mergeCell ref="AV466:AV471"/>
    <mergeCell ref="AK466:AK471"/>
    <mergeCell ref="AL466:AL471"/>
    <mergeCell ref="AM466:AM471"/>
    <mergeCell ref="AN466:AN471"/>
    <mergeCell ref="AO466:AO471"/>
    <mergeCell ref="AP466:AP471"/>
    <mergeCell ref="C466:C471"/>
    <mergeCell ref="AF466:AF471"/>
    <mergeCell ref="AG466:AG471"/>
    <mergeCell ref="AH466:AH471"/>
    <mergeCell ref="AI466:AI471"/>
    <mergeCell ref="AJ466:AJ471"/>
    <mergeCell ref="AQ478:AQ483"/>
    <mergeCell ref="AR478:AR483"/>
    <mergeCell ref="AX472:AX477"/>
    <mergeCell ref="AY472:AY477"/>
    <mergeCell ref="C478:C483"/>
    <mergeCell ref="AF478:AF483"/>
    <mergeCell ref="AG478:AG483"/>
    <mergeCell ref="AH478:AH483"/>
    <mergeCell ref="AI478:AI483"/>
    <mergeCell ref="AJ478:AJ483"/>
    <mergeCell ref="AK478:AK483"/>
    <mergeCell ref="AL478:AL483"/>
    <mergeCell ref="AR472:AR477"/>
    <mergeCell ref="AS472:AS477"/>
    <mergeCell ref="AT472:AT477"/>
    <mergeCell ref="AU472:AU477"/>
    <mergeCell ref="AV472:AV477"/>
    <mergeCell ref="AW472:AW477"/>
    <mergeCell ref="AL472:AL477"/>
    <mergeCell ref="AM472:AM477"/>
    <mergeCell ref="AN472:AN477"/>
    <mergeCell ref="AO472:AO477"/>
    <mergeCell ref="AP472:AP477"/>
    <mergeCell ref="AQ472:AQ477"/>
    <mergeCell ref="AT484:AT489"/>
    <mergeCell ref="AU484:AU489"/>
    <mergeCell ref="AV484:AV489"/>
    <mergeCell ref="AW484:AW489"/>
    <mergeCell ref="AX484:AX489"/>
    <mergeCell ref="AY484:AY489"/>
    <mergeCell ref="AN484:AN489"/>
    <mergeCell ref="AO484:AO489"/>
    <mergeCell ref="AP484:AP489"/>
    <mergeCell ref="AQ484:AQ489"/>
    <mergeCell ref="AR484:AR489"/>
    <mergeCell ref="AS484:AS489"/>
    <mergeCell ref="AY478:AY483"/>
    <mergeCell ref="C484:C489"/>
    <mergeCell ref="AF484:AF489"/>
    <mergeCell ref="AG484:AG489"/>
    <mergeCell ref="AH484:AH489"/>
    <mergeCell ref="AI484:AI489"/>
    <mergeCell ref="AJ484:AJ489"/>
    <mergeCell ref="AK484:AK489"/>
    <mergeCell ref="AL484:AL489"/>
    <mergeCell ref="AM484:AM489"/>
    <mergeCell ref="AS478:AS483"/>
    <mergeCell ref="AT478:AT483"/>
    <mergeCell ref="AU478:AU483"/>
    <mergeCell ref="AV478:AV483"/>
    <mergeCell ref="AW478:AW483"/>
    <mergeCell ref="AX478:AX483"/>
    <mergeCell ref="AM478:AM483"/>
    <mergeCell ref="AN478:AN483"/>
    <mergeCell ref="AO478:AO483"/>
    <mergeCell ref="AP478:AP483"/>
    <mergeCell ref="AW490:AW495"/>
    <mergeCell ref="AX490:AX495"/>
    <mergeCell ref="AY490:AY495"/>
    <mergeCell ref="C496:C501"/>
    <mergeCell ref="AF496:AF501"/>
    <mergeCell ref="AG496:AG501"/>
    <mergeCell ref="AH496:AH501"/>
    <mergeCell ref="AI496:AI501"/>
    <mergeCell ref="AJ496:AJ501"/>
    <mergeCell ref="AK496:AK501"/>
    <mergeCell ref="AQ490:AQ495"/>
    <mergeCell ref="AR490:AR495"/>
    <mergeCell ref="AS490:AS495"/>
    <mergeCell ref="AT490:AT495"/>
    <mergeCell ref="AU490:AU495"/>
    <mergeCell ref="AV490:AV495"/>
    <mergeCell ref="AK490:AK495"/>
    <mergeCell ref="AL490:AL495"/>
    <mergeCell ref="AM490:AM495"/>
    <mergeCell ref="AN490:AN495"/>
    <mergeCell ref="AO490:AO495"/>
    <mergeCell ref="AP490:AP495"/>
    <mergeCell ref="C490:C495"/>
    <mergeCell ref="AF490:AF495"/>
    <mergeCell ref="AG490:AG495"/>
    <mergeCell ref="AH490:AH495"/>
    <mergeCell ref="AI490:AI495"/>
    <mergeCell ref="AJ490:AJ495"/>
    <mergeCell ref="AX496:AX501"/>
    <mergeCell ref="AY496:AY501"/>
    <mergeCell ref="C502:C507"/>
    <mergeCell ref="AF502:AF507"/>
    <mergeCell ref="AG502:AG507"/>
    <mergeCell ref="AH502:AH507"/>
    <mergeCell ref="AI502:AI507"/>
    <mergeCell ref="AJ502:AJ507"/>
    <mergeCell ref="AK502:AK507"/>
    <mergeCell ref="AL502:AL507"/>
    <mergeCell ref="AR496:AR501"/>
    <mergeCell ref="AS496:AS501"/>
    <mergeCell ref="AT496:AT501"/>
    <mergeCell ref="AU496:AU501"/>
    <mergeCell ref="AV496:AV501"/>
    <mergeCell ref="AW496:AW501"/>
    <mergeCell ref="AL496:AL501"/>
    <mergeCell ref="AM496:AM501"/>
    <mergeCell ref="AN496:AN501"/>
    <mergeCell ref="AO496:AO501"/>
    <mergeCell ref="AP496:AP501"/>
    <mergeCell ref="AQ496:AQ501"/>
    <mergeCell ref="AY502:AY507"/>
    <mergeCell ref="C508:C513"/>
    <mergeCell ref="AF508:AF513"/>
    <mergeCell ref="AG508:AG513"/>
    <mergeCell ref="AH508:AH513"/>
    <mergeCell ref="AI508:AI513"/>
    <mergeCell ref="AJ508:AJ513"/>
    <mergeCell ref="AK508:AK513"/>
    <mergeCell ref="AL508:AL513"/>
    <mergeCell ref="AM508:AM513"/>
    <mergeCell ref="AS502:AS507"/>
    <mergeCell ref="AT502:AT507"/>
    <mergeCell ref="AU502:AU507"/>
    <mergeCell ref="AV502:AV507"/>
    <mergeCell ref="AW502:AW507"/>
    <mergeCell ref="AX502:AX507"/>
    <mergeCell ref="AM502:AM507"/>
    <mergeCell ref="AN502:AN507"/>
    <mergeCell ref="AO502:AO507"/>
    <mergeCell ref="AP502:AP507"/>
    <mergeCell ref="AQ502:AQ507"/>
    <mergeCell ref="AR502:AR507"/>
    <mergeCell ref="AO514:AO519"/>
    <mergeCell ref="AP514:AP519"/>
    <mergeCell ref="C514:C519"/>
    <mergeCell ref="AF514:AF519"/>
    <mergeCell ref="AG514:AG519"/>
    <mergeCell ref="AH514:AH519"/>
    <mergeCell ref="AI514:AI519"/>
    <mergeCell ref="AJ514:AJ519"/>
    <mergeCell ref="AT508:AT513"/>
    <mergeCell ref="AU508:AU513"/>
    <mergeCell ref="AV508:AV513"/>
    <mergeCell ref="AW508:AW513"/>
    <mergeCell ref="AX508:AX513"/>
    <mergeCell ref="AY508:AY513"/>
    <mergeCell ref="AN508:AN513"/>
    <mergeCell ref="AO508:AO513"/>
    <mergeCell ref="AP508:AP513"/>
    <mergeCell ref="AQ508:AQ513"/>
    <mergeCell ref="AR508:AR513"/>
    <mergeCell ref="AS508:AS513"/>
    <mergeCell ref="AS520:AS525"/>
    <mergeCell ref="AT520:AT525"/>
    <mergeCell ref="AU520:AU525"/>
    <mergeCell ref="AV520:AV525"/>
    <mergeCell ref="AW520:AW525"/>
    <mergeCell ref="AX520:AX525"/>
    <mergeCell ref="AM520:AM525"/>
    <mergeCell ref="AN520:AN525"/>
    <mergeCell ref="AO520:AO525"/>
    <mergeCell ref="AP520:AP525"/>
    <mergeCell ref="AQ520:AQ525"/>
    <mergeCell ref="AR520:AR525"/>
    <mergeCell ref="AW514:AW519"/>
    <mergeCell ref="AX514:AX519"/>
    <mergeCell ref="AY514:AY519"/>
    <mergeCell ref="C520:C525"/>
    <mergeCell ref="AG520:AG525"/>
    <mergeCell ref="AH520:AH525"/>
    <mergeCell ref="AI520:AI525"/>
    <mergeCell ref="AJ520:AJ525"/>
    <mergeCell ref="AK520:AK525"/>
    <mergeCell ref="AL520:AL525"/>
    <mergeCell ref="AQ514:AQ519"/>
    <mergeCell ref="AR514:AR519"/>
    <mergeCell ref="AS514:AS519"/>
    <mergeCell ref="AT514:AT519"/>
    <mergeCell ref="AU514:AU519"/>
    <mergeCell ref="AV514:AV519"/>
    <mergeCell ref="AK514:AK519"/>
    <mergeCell ref="AL514:AL519"/>
    <mergeCell ref="AM514:AM519"/>
    <mergeCell ref="AN514:AN519"/>
    <mergeCell ref="AW526:AW531"/>
    <mergeCell ref="AX526:AX531"/>
    <mergeCell ref="A532:A627"/>
    <mergeCell ref="B532:B627"/>
    <mergeCell ref="C532:C537"/>
    <mergeCell ref="AG532:AG537"/>
    <mergeCell ref="AH532:AH537"/>
    <mergeCell ref="AI532:AI537"/>
    <mergeCell ref="AJ532:AJ537"/>
    <mergeCell ref="AK532:AK537"/>
    <mergeCell ref="AQ526:AQ531"/>
    <mergeCell ref="AR526:AR531"/>
    <mergeCell ref="AS526:AS531"/>
    <mergeCell ref="AT526:AT531"/>
    <mergeCell ref="AU526:AU531"/>
    <mergeCell ref="AV526:AV531"/>
    <mergeCell ref="AK526:AK531"/>
    <mergeCell ref="AL526:AL531"/>
    <mergeCell ref="AM526:AM531"/>
    <mergeCell ref="AN526:AN531"/>
    <mergeCell ref="AO526:AO531"/>
    <mergeCell ref="AP526:AP531"/>
    <mergeCell ref="C526:C531"/>
    <mergeCell ref="AG526:AG531"/>
    <mergeCell ref="AH526:AH531"/>
    <mergeCell ref="AI526:AI531"/>
    <mergeCell ref="AJ526:AJ531"/>
    <mergeCell ref="AX532:AX537"/>
    <mergeCell ref="AY532:AY537"/>
    <mergeCell ref="AF533:AF537"/>
    <mergeCell ref="C538:C543"/>
    <mergeCell ref="AF538:AF543"/>
    <mergeCell ref="AG538:AG543"/>
    <mergeCell ref="AH538:AH543"/>
    <mergeCell ref="AI538:AI543"/>
    <mergeCell ref="AJ538:AJ543"/>
    <mergeCell ref="AK538:AK543"/>
    <mergeCell ref="AR532:AR537"/>
    <mergeCell ref="AS532:AS537"/>
    <mergeCell ref="AT532:AT537"/>
    <mergeCell ref="AU532:AU537"/>
    <mergeCell ref="AV532:AV537"/>
    <mergeCell ref="AW532:AW537"/>
    <mergeCell ref="AL532:AL537"/>
    <mergeCell ref="AM532:AM537"/>
    <mergeCell ref="AN532:AN537"/>
    <mergeCell ref="AO532:AO537"/>
    <mergeCell ref="AP532:AP537"/>
    <mergeCell ref="AQ532:AQ537"/>
    <mergeCell ref="AX538:AX543"/>
    <mergeCell ref="AY538:AY543"/>
    <mergeCell ref="C544:C549"/>
    <mergeCell ref="AF544:AF549"/>
    <mergeCell ref="AG544:AG549"/>
    <mergeCell ref="AH544:AH549"/>
    <mergeCell ref="AI544:AI549"/>
    <mergeCell ref="AJ544:AJ549"/>
    <mergeCell ref="AK544:AK549"/>
    <mergeCell ref="AR538:AR543"/>
    <mergeCell ref="AS538:AS543"/>
    <mergeCell ref="AT538:AT543"/>
    <mergeCell ref="AU538:AU543"/>
    <mergeCell ref="AV538:AV543"/>
    <mergeCell ref="AW538:AW543"/>
    <mergeCell ref="AL538:AL543"/>
    <mergeCell ref="AM538:AM543"/>
    <mergeCell ref="AN538:AN543"/>
    <mergeCell ref="AO538:AO543"/>
    <mergeCell ref="AP538:AP543"/>
    <mergeCell ref="AQ538:AQ543"/>
    <mergeCell ref="AQ550:AQ555"/>
    <mergeCell ref="AR550:AR555"/>
    <mergeCell ref="AX544:AX549"/>
    <mergeCell ref="AY544:AY549"/>
    <mergeCell ref="C550:C555"/>
    <mergeCell ref="AF550:AF555"/>
    <mergeCell ref="AG550:AG555"/>
    <mergeCell ref="AH550:AH555"/>
    <mergeCell ref="AI550:AI555"/>
    <mergeCell ref="AJ550:AJ555"/>
    <mergeCell ref="AK550:AK555"/>
    <mergeCell ref="AL550:AL555"/>
    <mergeCell ref="AR544:AR549"/>
    <mergeCell ref="AS544:AS549"/>
    <mergeCell ref="AT544:AT549"/>
    <mergeCell ref="AU544:AU549"/>
    <mergeCell ref="AV544:AV549"/>
    <mergeCell ref="AW544:AW549"/>
    <mergeCell ref="AL544:AL549"/>
    <mergeCell ref="AM544:AM549"/>
    <mergeCell ref="AN544:AN549"/>
    <mergeCell ref="AO544:AO549"/>
    <mergeCell ref="AP544:AP549"/>
    <mergeCell ref="AQ544:AQ549"/>
    <mergeCell ref="AT556:AT561"/>
    <mergeCell ref="AU556:AU561"/>
    <mergeCell ref="AV556:AV561"/>
    <mergeCell ref="AW556:AW561"/>
    <mergeCell ref="AX556:AX561"/>
    <mergeCell ref="AY556:AY561"/>
    <mergeCell ref="AN556:AN561"/>
    <mergeCell ref="AO556:AO561"/>
    <mergeCell ref="AP556:AP561"/>
    <mergeCell ref="AQ556:AQ561"/>
    <mergeCell ref="AR556:AR561"/>
    <mergeCell ref="AS556:AS561"/>
    <mergeCell ref="AY550:AY555"/>
    <mergeCell ref="C556:C561"/>
    <mergeCell ref="AF556:AF561"/>
    <mergeCell ref="AG556:AG561"/>
    <mergeCell ref="AH556:AH561"/>
    <mergeCell ref="AI556:AI561"/>
    <mergeCell ref="AJ556:AJ561"/>
    <mergeCell ref="AK556:AK561"/>
    <mergeCell ref="AL556:AL561"/>
    <mergeCell ref="AM556:AM561"/>
    <mergeCell ref="AS550:AS555"/>
    <mergeCell ref="AT550:AT555"/>
    <mergeCell ref="AU550:AU555"/>
    <mergeCell ref="AV550:AV555"/>
    <mergeCell ref="AW550:AW555"/>
    <mergeCell ref="AX550:AX555"/>
    <mergeCell ref="AM550:AM555"/>
    <mergeCell ref="AN550:AN555"/>
    <mergeCell ref="AO550:AO555"/>
    <mergeCell ref="AP550:AP555"/>
    <mergeCell ref="AW562:AW567"/>
    <mergeCell ref="AX562:AX567"/>
    <mergeCell ref="AY562:AY567"/>
    <mergeCell ref="C568:C573"/>
    <mergeCell ref="AF568:AF573"/>
    <mergeCell ref="AG568:AG573"/>
    <mergeCell ref="AH568:AH573"/>
    <mergeCell ref="AI568:AI573"/>
    <mergeCell ref="AJ568:AJ573"/>
    <mergeCell ref="AK568:AK573"/>
    <mergeCell ref="AQ562:AQ567"/>
    <mergeCell ref="AR562:AR567"/>
    <mergeCell ref="AS562:AS567"/>
    <mergeCell ref="AT562:AT567"/>
    <mergeCell ref="AU562:AU567"/>
    <mergeCell ref="AV562:AV567"/>
    <mergeCell ref="AK562:AK567"/>
    <mergeCell ref="AL562:AL567"/>
    <mergeCell ref="AM562:AM567"/>
    <mergeCell ref="AN562:AN567"/>
    <mergeCell ref="AO562:AO567"/>
    <mergeCell ref="AP562:AP567"/>
    <mergeCell ref="C562:C567"/>
    <mergeCell ref="AF562:AF567"/>
    <mergeCell ref="AG562:AG567"/>
    <mergeCell ref="AH562:AH567"/>
    <mergeCell ref="AI562:AI567"/>
    <mergeCell ref="AJ562:AJ567"/>
    <mergeCell ref="AQ574:AQ579"/>
    <mergeCell ref="AR574:AR579"/>
    <mergeCell ref="AX568:AX573"/>
    <mergeCell ref="AY568:AY573"/>
    <mergeCell ref="C574:C579"/>
    <mergeCell ref="AF574:AF579"/>
    <mergeCell ref="AG574:AG579"/>
    <mergeCell ref="AH574:AH579"/>
    <mergeCell ref="AI574:AI579"/>
    <mergeCell ref="AJ574:AJ579"/>
    <mergeCell ref="AK574:AK579"/>
    <mergeCell ref="AL574:AL579"/>
    <mergeCell ref="AR568:AR573"/>
    <mergeCell ref="AS568:AS573"/>
    <mergeCell ref="AT568:AT573"/>
    <mergeCell ref="AU568:AU573"/>
    <mergeCell ref="AV568:AV573"/>
    <mergeCell ref="AW568:AW573"/>
    <mergeCell ref="AL568:AL573"/>
    <mergeCell ref="AM568:AM573"/>
    <mergeCell ref="AN568:AN573"/>
    <mergeCell ref="AO568:AO573"/>
    <mergeCell ref="AP568:AP573"/>
    <mergeCell ref="AQ568:AQ573"/>
    <mergeCell ref="AT580:AT585"/>
    <mergeCell ref="AU580:AU585"/>
    <mergeCell ref="AV580:AV585"/>
    <mergeCell ref="AW580:AW585"/>
    <mergeCell ref="AX580:AX585"/>
    <mergeCell ref="AY580:AY585"/>
    <mergeCell ref="AN580:AN585"/>
    <mergeCell ref="AO580:AO585"/>
    <mergeCell ref="AP580:AP585"/>
    <mergeCell ref="AQ580:AQ585"/>
    <mergeCell ref="AR580:AR585"/>
    <mergeCell ref="AS580:AS585"/>
    <mergeCell ref="AY574:AY579"/>
    <mergeCell ref="C580:C585"/>
    <mergeCell ref="AF580:AF585"/>
    <mergeCell ref="AG580:AG585"/>
    <mergeCell ref="AH580:AH585"/>
    <mergeCell ref="AI580:AI585"/>
    <mergeCell ref="AJ580:AJ585"/>
    <mergeCell ref="AK580:AK585"/>
    <mergeCell ref="AL580:AL585"/>
    <mergeCell ref="AM580:AM585"/>
    <mergeCell ref="AS574:AS579"/>
    <mergeCell ref="AT574:AT579"/>
    <mergeCell ref="AU574:AU579"/>
    <mergeCell ref="AV574:AV579"/>
    <mergeCell ref="AW574:AW579"/>
    <mergeCell ref="AX574:AX579"/>
    <mergeCell ref="AM574:AM579"/>
    <mergeCell ref="AN574:AN579"/>
    <mergeCell ref="AO574:AO579"/>
    <mergeCell ref="AP574:AP579"/>
    <mergeCell ref="AW586:AW591"/>
    <mergeCell ref="AX586:AX591"/>
    <mergeCell ref="AY586:AY591"/>
    <mergeCell ref="C592:C597"/>
    <mergeCell ref="AF592:AF597"/>
    <mergeCell ref="AG592:AG597"/>
    <mergeCell ref="AH592:AH597"/>
    <mergeCell ref="AI592:AI597"/>
    <mergeCell ref="AJ592:AJ597"/>
    <mergeCell ref="AK592:AK597"/>
    <mergeCell ref="AQ586:AQ591"/>
    <mergeCell ref="AR586:AR591"/>
    <mergeCell ref="AS586:AS591"/>
    <mergeCell ref="AT586:AT591"/>
    <mergeCell ref="AU586:AU591"/>
    <mergeCell ref="AV586:AV591"/>
    <mergeCell ref="AK586:AK591"/>
    <mergeCell ref="AL586:AL591"/>
    <mergeCell ref="AM586:AM591"/>
    <mergeCell ref="AN586:AN591"/>
    <mergeCell ref="AO586:AO591"/>
    <mergeCell ref="AP586:AP591"/>
    <mergeCell ref="C586:C591"/>
    <mergeCell ref="AF586:AF591"/>
    <mergeCell ref="AG586:AG591"/>
    <mergeCell ref="AH586:AH591"/>
    <mergeCell ref="AI586:AI591"/>
    <mergeCell ref="AJ586:AJ591"/>
    <mergeCell ref="AQ598:AQ603"/>
    <mergeCell ref="AR598:AR603"/>
    <mergeCell ref="AX592:AX597"/>
    <mergeCell ref="AY592:AY597"/>
    <mergeCell ref="C598:C603"/>
    <mergeCell ref="AF598:AF603"/>
    <mergeCell ref="AG598:AG603"/>
    <mergeCell ref="AH598:AH603"/>
    <mergeCell ref="AI598:AI603"/>
    <mergeCell ref="AJ598:AJ603"/>
    <mergeCell ref="AK598:AK603"/>
    <mergeCell ref="AL598:AL603"/>
    <mergeCell ref="AR592:AR597"/>
    <mergeCell ref="AS592:AS597"/>
    <mergeCell ref="AT592:AT597"/>
    <mergeCell ref="AU592:AU597"/>
    <mergeCell ref="AV592:AV597"/>
    <mergeCell ref="AW592:AW597"/>
    <mergeCell ref="AL592:AL597"/>
    <mergeCell ref="AM592:AM597"/>
    <mergeCell ref="AN592:AN597"/>
    <mergeCell ref="AO592:AO597"/>
    <mergeCell ref="AP592:AP597"/>
    <mergeCell ref="AQ592:AQ597"/>
    <mergeCell ref="AT604:AT609"/>
    <mergeCell ref="AU604:AU609"/>
    <mergeCell ref="AV604:AV609"/>
    <mergeCell ref="AW604:AW609"/>
    <mergeCell ref="AX604:AX609"/>
    <mergeCell ref="AY604:AY609"/>
    <mergeCell ref="AN604:AN609"/>
    <mergeCell ref="AO604:AO609"/>
    <mergeCell ref="AP604:AP609"/>
    <mergeCell ref="AQ604:AQ609"/>
    <mergeCell ref="AR604:AR609"/>
    <mergeCell ref="AS604:AS609"/>
    <mergeCell ref="AY598:AY603"/>
    <mergeCell ref="C604:C609"/>
    <mergeCell ref="AF604:AF609"/>
    <mergeCell ref="AG604:AG609"/>
    <mergeCell ref="AH604:AH609"/>
    <mergeCell ref="AI604:AI609"/>
    <mergeCell ref="AJ604:AJ609"/>
    <mergeCell ref="AK604:AK609"/>
    <mergeCell ref="AL604:AL609"/>
    <mergeCell ref="AM604:AM609"/>
    <mergeCell ref="AS598:AS603"/>
    <mergeCell ref="AT598:AT603"/>
    <mergeCell ref="AU598:AU603"/>
    <mergeCell ref="AV598:AV603"/>
    <mergeCell ref="AW598:AW603"/>
    <mergeCell ref="AX598:AX603"/>
    <mergeCell ref="AM598:AM603"/>
    <mergeCell ref="AN598:AN603"/>
    <mergeCell ref="AO598:AO603"/>
    <mergeCell ref="AP598:AP603"/>
    <mergeCell ref="AP616:AP621"/>
    <mergeCell ref="AQ616:AQ621"/>
    <mergeCell ref="AV610:AV615"/>
    <mergeCell ref="AW610:AW615"/>
    <mergeCell ref="AX610:AX615"/>
    <mergeCell ref="AY610:AY615"/>
    <mergeCell ref="C616:C621"/>
    <mergeCell ref="AG616:AG621"/>
    <mergeCell ref="AH616:AH621"/>
    <mergeCell ref="AI616:AI621"/>
    <mergeCell ref="AJ616:AJ621"/>
    <mergeCell ref="AK616:AK621"/>
    <mergeCell ref="AP610:AP615"/>
    <mergeCell ref="AQ610:AQ615"/>
    <mergeCell ref="AR610:AR615"/>
    <mergeCell ref="AS610:AS615"/>
    <mergeCell ref="AT610:AT615"/>
    <mergeCell ref="AU610:AU615"/>
    <mergeCell ref="AJ610:AJ615"/>
    <mergeCell ref="AK610:AK615"/>
    <mergeCell ref="AL610:AL615"/>
    <mergeCell ref="AM610:AM615"/>
    <mergeCell ref="AN610:AN615"/>
    <mergeCell ref="AO610:AO615"/>
    <mergeCell ref="C610:C615"/>
    <mergeCell ref="AF610:AF615"/>
    <mergeCell ref="AG610:AG615"/>
    <mergeCell ref="AH610:AH615"/>
    <mergeCell ref="AI610:AI615"/>
    <mergeCell ref="AT622:AT627"/>
    <mergeCell ref="AU622:AU627"/>
    <mergeCell ref="AV622:AV627"/>
    <mergeCell ref="AW622:AW627"/>
    <mergeCell ref="AX622:AX627"/>
    <mergeCell ref="AY622:AY627"/>
    <mergeCell ref="AN622:AN627"/>
    <mergeCell ref="AO622:AO627"/>
    <mergeCell ref="AP622:AP627"/>
    <mergeCell ref="AQ622:AQ627"/>
    <mergeCell ref="AR622:AR627"/>
    <mergeCell ref="AS622:AS627"/>
    <mergeCell ref="AX616:AX621"/>
    <mergeCell ref="AY616:AY621"/>
    <mergeCell ref="C622:C627"/>
    <mergeCell ref="AG622:AG627"/>
    <mergeCell ref="AH622:AH627"/>
    <mergeCell ref="AI622:AI627"/>
    <mergeCell ref="AJ622:AJ627"/>
    <mergeCell ref="AK622:AK627"/>
    <mergeCell ref="AL622:AL627"/>
    <mergeCell ref="AM622:AM627"/>
    <mergeCell ref="AR616:AR621"/>
    <mergeCell ref="AS616:AS621"/>
    <mergeCell ref="AT616:AT621"/>
    <mergeCell ref="AU616:AU621"/>
    <mergeCell ref="AV616:AV621"/>
    <mergeCell ref="AW616:AW621"/>
    <mergeCell ref="AL616:AL621"/>
    <mergeCell ref="AM616:AM621"/>
    <mergeCell ref="AN616:AN621"/>
    <mergeCell ref="AO616:AO621"/>
    <mergeCell ref="AT628:AT633"/>
    <mergeCell ref="AU628:AU633"/>
    <mergeCell ref="AV628:AV633"/>
    <mergeCell ref="AW628:AW633"/>
    <mergeCell ref="AX628:AX633"/>
    <mergeCell ref="AY628:AY633"/>
    <mergeCell ref="AN628:AN633"/>
    <mergeCell ref="AO628:AO633"/>
    <mergeCell ref="AP628:AP633"/>
    <mergeCell ref="AQ628:AQ633"/>
    <mergeCell ref="AR628:AR633"/>
    <mergeCell ref="AS628:AS633"/>
    <mergeCell ref="AH628:AH633"/>
    <mergeCell ref="AI628:AI633"/>
    <mergeCell ref="AJ628:AJ633"/>
    <mergeCell ref="AK628:AK633"/>
    <mergeCell ref="AL628:AL633"/>
    <mergeCell ref="AM628:AM633"/>
    <mergeCell ref="A640:A675"/>
    <mergeCell ref="B640:B675"/>
    <mergeCell ref="C640:C645"/>
    <mergeCell ref="AF640:AF675"/>
    <mergeCell ref="AG640:AG645"/>
    <mergeCell ref="AT634:AT639"/>
    <mergeCell ref="AU634:AU639"/>
    <mergeCell ref="AV634:AV639"/>
    <mergeCell ref="AW634:AW639"/>
    <mergeCell ref="AX634:AX639"/>
    <mergeCell ref="AY634:AY639"/>
    <mergeCell ref="AN634:AN639"/>
    <mergeCell ref="AO634:AO639"/>
    <mergeCell ref="AP634:AP639"/>
    <mergeCell ref="AQ634:AQ639"/>
    <mergeCell ref="AR634:AR639"/>
    <mergeCell ref="AS634:AS639"/>
    <mergeCell ref="AH634:AH639"/>
    <mergeCell ref="AI634:AI639"/>
    <mergeCell ref="AJ634:AJ639"/>
    <mergeCell ref="AK634:AK639"/>
    <mergeCell ref="AL634:AL639"/>
    <mergeCell ref="AM634:AM639"/>
    <mergeCell ref="A628:A639"/>
    <mergeCell ref="B628:B639"/>
    <mergeCell ref="C628:C633"/>
    <mergeCell ref="AF628:AF639"/>
    <mergeCell ref="AG628:AG633"/>
    <mergeCell ref="C634:C639"/>
    <mergeCell ref="AG634:AG639"/>
    <mergeCell ref="AT640:AT645"/>
    <mergeCell ref="AU640:AU645"/>
    <mergeCell ref="AV640:AV645"/>
    <mergeCell ref="AW640:AW645"/>
    <mergeCell ref="AX640:AX645"/>
    <mergeCell ref="C646:C651"/>
    <mergeCell ref="AG646:AG651"/>
    <mergeCell ref="AH646:AH651"/>
    <mergeCell ref="AI646:AI651"/>
    <mergeCell ref="AJ646:AJ651"/>
    <mergeCell ref="AN640:AN645"/>
    <mergeCell ref="AO640:AO645"/>
    <mergeCell ref="AP640:AP645"/>
    <mergeCell ref="AQ640:AQ645"/>
    <mergeCell ref="AR640:AR645"/>
    <mergeCell ref="AS640:AS645"/>
    <mergeCell ref="AH640:AH645"/>
    <mergeCell ref="AI640:AI645"/>
    <mergeCell ref="AJ640:AJ645"/>
    <mergeCell ref="AK640:AK645"/>
    <mergeCell ref="AL640:AL645"/>
    <mergeCell ref="AM640:AM645"/>
    <mergeCell ref="AW646:AW651"/>
    <mergeCell ref="AX646:AX651"/>
    <mergeCell ref="AY646:AY651"/>
    <mergeCell ref="C652:C657"/>
    <mergeCell ref="AG652:AG657"/>
    <mergeCell ref="AH652:AH657"/>
    <mergeCell ref="AI652:AI657"/>
    <mergeCell ref="AJ652:AJ657"/>
    <mergeCell ref="AK652:AK657"/>
    <mergeCell ref="AL652:AL657"/>
    <mergeCell ref="AQ646:AQ651"/>
    <mergeCell ref="AR646:AR651"/>
    <mergeCell ref="AS646:AS651"/>
    <mergeCell ref="AT646:AT651"/>
    <mergeCell ref="AU646:AU651"/>
    <mergeCell ref="AV646:AV651"/>
    <mergeCell ref="AK646:AK651"/>
    <mergeCell ref="AL646:AL651"/>
    <mergeCell ref="AM646:AM651"/>
    <mergeCell ref="AN646:AN651"/>
    <mergeCell ref="AO646:AO651"/>
    <mergeCell ref="AP646:AP651"/>
    <mergeCell ref="AY652:AY657"/>
    <mergeCell ref="C658:C663"/>
    <mergeCell ref="AG658:AG663"/>
    <mergeCell ref="AH658:AH663"/>
    <mergeCell ref="AI658:AI663"/>
    <mergeCell ref="AK658:AK663"/>
    <mergeCell ref="AL658:AL663"/>
    <mergeCell ref="AM658:AM663"/>
    <mergeCell ref="AN658:AN663"/>
    <mergeCell ref="AO658:AO663"/>
    <mergeCell ref="AS652:AS657"/>
    <mergeCell ref="AT652:AT657"/>
    <mergeCell ref="AU652:AU657"/>
    <mergeCell ref="AV652:AV657"/>
    <mergeCell ref="AW652:AW657"/>
    <mergeCell ref="AX652:AX657"/>
    <mergeCell ref="AM652:AM657"/>
    <mergeCell ref="AN652:AN657"/>
    <mergeCell ref="AO652:AO657"/>
    <mergeCell ref="AP652:AP657"/>
    <mergeCell ref="AQ652:AQ657"/>
    <mergeCell ref="AR652:AR657"/>
    <mergeCell ref="AP664:AP669"/>
    <mergeCell ref="AQ664:AQ669"/>
    <mergeCell ref="AV658:AV663"/>
    <mergeCell ref="AW658:AW663"/>
    <mergeCell ref="AX658:AX663"/>
    <mergeCell ref="AY658:AY663"/>
    <mergeCell ref="C664:C669"/>
    <mergeCell ref="AG664:AG669"/>
    <mergeCell ref="AH664:AH669"/>
    <mergeCell ref="AI664:AI669"/>
    <mergeCell ref="AJ664:AJ669"/>
    <mergeCell ref="AK664:AK669"/>
    <mergeCell ref="AP658:AP663"/>
    <mergeCell ref="AQ658:AQ663"/>
    <mergeCell ref="AR658:AR663"/>
    <mergeCell ref="AS658:AS663"/>
    <mergeCell ref="AT658:AT663"/>
    <mergeCell ref="AU658:AU663"/>
    <mergeCell ref="AT670:AT675"/>
    <mergeCell ref="AU670:AU675"/>
    <mergeCell ref="AV670:AV675"/>
    <mergeCell ref="AW670:AW675"/>
    <mergeCell ref="AX670:AX675"/>
    <mergeCell ref="AY670:AY675"/>
    <mergeCell ref="AN670:AN675"/>
    <mergeCell ref="AO670:AO675"/>
    <mergeCell ref="AP670:AP675"/>
    <mergeCell ref="AQ670:AQ675"/>
    <mergeCell ref="AR670:AR675"/>
    <mergeCell ref="AS670:AS675"/>
    <mergeCell ref="AX664:AX669"/>
    <mergeCell ref="AY664:AY669"/>
    <mergeCell ref="C670:C675"/>
    <mergeCell ref="AG670:AG675"/>
    <mergeCell ref="AH670:AH675"/>
    <mergeCell ref="AI670:AI675"/>
    <mergeCell ref="AJ670:AJ675"/>
    <mergeCell ref="AK670:AK675"/>
    <mergeCell ref="AL670:AL675"/>
    <mergeCell ref="AM670:AM675"/>
    <mergeCell ref="AR664:AR669"/>
    <mergeCell ref="AS664:AS669"/>
    <mergeCell ref="AT664:AT669"/>
    <mergeCell ref="AU664:AU669"/>
    <mergeCell ref="AV664:AV669"/>
    <mergeCell ref="AW664:AW669"/>
    <mergeCell ref="AL664:AL669"/>
    <mergeCell ref="AM664:AM669"/>
    <mergeCell ref="AN664:AN669"/>
    <mergeCell ref="AO664:AO669"/>
    <mergeCell ref="AU676:AU681"/>
    <mergeCell ref="AV676:AV681"/>
    <mergeCell ref="AW676:AW681"/>
    <mergeCell ref="AX676:AX681"/>
    <mergeCell ref="C682:C687"/>
    <mergeCell ref="AG682:AG687"/>
    <mergeCell ref="AH682:AH687"/>
    <mergeCell ref="AI682:AI687"/>
    <mergeCell ref="AJ682:AJ687"/>
    <mergeCell ref="AK682:AK687"/>
    <mergeCell ref="AO676:AO681"/>
    <mergeCell ref="AP676:AP681"/>
    <mergeCell ref="AQ676:AQ681"/>
    <mergeCell ref="AR676:AR681"/>
    <mergeCell ref="AS676:AS681"/>
    <mergeCell ref="AT676:AT681"/>
    <mergeCell ref="AI676:AI681"/>
    <mergeCell ref="AJ676:AJ681"/>
    <mergeCell ref="AK676:AK681"/>
    <mergeCell ref="AL676:AL681"/>
    <mergeCell ref="AM676:AM681"/>
    <mergeCell ref="AN676:AN681"/>
    <mergeCell ref="C676:C681"/>
    <mergeCell ref="AF676:AF687"/>
    <mergeCell ref="AG676:AG681"/>
    <mergeCell ref="AH676:AH681"/>
    <mergeCell ref="AX682:AX687"/>
    <mergeCell ref="A688:A699"/>
    <mergeCell ref="B688:B699"/>
    <mergeCell ref="C688:C693"/>
    <mergeCell ref="AF688:AF699"/>
    <mergeCell ref="AG688:AG693"/>
    <mergeCell ref="AH688:AH693"/>
    <mergeCell ref="AI688:AI693"/>
    <mergeCell ref="AJ688:AJ693"/>
    <mergeCell ref="AK688:AK693"/>
    <mergeCell ref="AR682:AR687"/>
    <mergeCell ref="AS682:AS687"/>
    <mergeCell ref="AT682:AT687"/>
    <mergeCell ref="AU682:AU687"/>
    <mergeCell ref="AV682:AV687"/>
    <mergeCell ref="AW682:AW687"/>
    <mergeCell ref="AL682:AL687"/>
    <mergeCell ref="AM682:AM687"/>
    <mergeCell ref="AN682:AN687"/>
    <mergeCell ref="AO682:AO687"/>
    <mergeCell ref="AP682:AP687"/>
    <mergeCell ref="AQ682:AQ687"/>
    <mergeCell ref="A676:A687"/>
    <mergeCell ref="B676:B687"/>
    <mergeCell ref="AX688:AX693"/>
    <mergeCell ref="C694:C699"/>
    <mergeCell ref="AG694:AG699"/>
    <mergeCell ref="AH694:AH699"/>
    <mergeCell ref="AI694:AI699"/>
    <mergeCell ref="AJ694:AJ699"/>
    <mergeCell ref="AK694:AK699"/>
    <mergeCell ref="AL694:AL699"/>
    <mergeCell ref="AM694:AM699"/>
    <mergeCell ref="AN694:AN699"/>
    <mergeCell ref="AR688:AR693"/>
    <mergeCell ref="AS688:AS693"/>
    <mergeCell ref="AT688:AT693"/>
    <mergeCell ref="AU688:AU693"/>
    <mergeCell ref="AV688:AV693"/>
    <mergeCell ref="AW688:AW693"/>
    <mergeCell ref="AL688:AL693"/>
    <mergeCell ref="AM688:AM693"/>
    <mergeCell ref="AN688:AN693"/>
    <mergeCell ref="AO688:AO693"/>
    <mergeCell ref="AP688:AP693"/>
    <mergeCell ref="AQ688:AQ693"/>
    <mergeCell ref="C706:H706"/>
    <mergeCell ref="I706:Q706"/>
    <mergeCell ref="C707:H707"/>
    <mergeCell ref="I707:Q707"/>
    <mergeCell ref="AU694:AU699"/>
    <mergeCell ref="AV694:AV699"/>
    <mergeCell ref="AW694:AW699"/>
    <mergeCell ref="AX694:AX699"/>
    <mergeCell ref="A700:C702"/>
    <mergeCell ref="C705:H705"/>
    <mergeCell ref="I705:Q705"/>
    <mergeCell ref="AO694:AO699"/>
    <mergeCell ref="AP694:AP699"/>
    <mergeCell ref="AQ694:AQ699"/>
    <mergeCell ref="AR694:AR699"/>
    <mergeCell ref="AS694:AS699"/>
    <mergeCell ref="AT694:AT699"/>
  </mergeCells>
  <hyperlinks>
    <hyperlink ref="AJ20" r:id="rId1" xr:uid="{00000000-0004-0000-0300-000000000000}"/>
    <hyperlink ref="AJ26" r:id="rId2" xr:uid="{00000000-0004-0000-0300-000001000000}"/>
    <hyperlink ref="AJ32" r:id="rId3" xr:uid="{00000000-0004-0000-0300-000002000000}"/>
    <hyperlink ref="AJ38" r:id="rId4" xr:uid="{00000000-0004-0000-0300-000003000000}"/>
    <hyperlink ref="AJ44" r:id="rId5" xr:uid="{00000000-0004-0000-0300-000004000000}"/>
    <hyperlink ref="AJ50" r:id="rId6" xr:uid="{00000000-0004-0000-0300-000005000000}"/>
    <hyperlink ref="AJ56" r:id="rId7" xr:uid="{00000000-0004-0000-0300-000006000000}"/>
    <hyperlink ref="AJ62" r:id="rId8" xr:uid="{00000000-0004-0000-0300-000007000000}"/>
    <hyperlink ref="AJ68" r:id="rId9" xr:uid="{00000000-0004-0000-0300-000008000000}"/>
    <hyperlink ref="AJ74" r:id="rId10" xr:uid="{00000000-0004-0000-0300-000009000000}"/>
    <hyperlink ref="AJ80" r:id="rId11" xr:uid="{00000000-0004-0000-0300-00000A000000}"/>
    <hyperlink ref="AJ86" r:id="rId12" xr:uid="{00000000-0004-0000-0300-00000B000000}"/>
    <hyperlink ref="AJ92" r:id="rId13" xr:uid="{00000000-0004-0000-0300-00000C000000}"/>
    <hyperlink ref="AJ98" r:id="rId14" xr:uid="{00000000-0004-0000-0300-00000D000000}"/>
    <hyperlink ref="AJ104" r:id="rId15" xr:uid="{00000000-0004-0000-0300-00000E000000}"/>
    <hyperlink ref="AJ110" r:id="rId16" xr:uid="{00000000-0004-0000-0300-00000F000000}"/>
    <hyperlink ref="AJ116" r:id="rId17" xr:uid="{00000000-0004-0000-0300-000010000000}"/>
    <hyperlink ref="AJ122" r:id="rId18" xr:uid="{00000000-0004-0000-0300-000011000000}"/>
    <hyperlink ref="AJ128" r:id="rId19" xr:uid="{00000000-0004-0000-0300-000012000000}"/>
    <hyperlink ref="AJ152" r:id="rId20" xr:uid="{00000000-0004-0000-0300-000013000000}"/>
    <hyperlink ref="AJ170" r:id="rId21" xr:uid="{00000000-0004-0000-0300-000014000000}"/>
  </hyperlinks>
  <pageMargins left="0.7" right="0.7" top="0.75" bottom="0.75" header="0" footer="0"/>
  <pageSetup orientation="landscape" r:id="rId22"/>
  <drawing r:id="rId23"/>
  <legacyDrawing r:id="rId2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1056"/>
  <sheetViews>
    <sheetView showGridLines="0" zoomScale="68" zoomScaleNormal="68" workbookViewId="0">
      <selection activeCell="G35" sqref="G35"/>
    </sheetView>
  </sheetViews>
  <sheetFormatPr baseColWidth="10" defaultColWidth="14.42578125" defaultRowHeight="15" customHeight="1" x14ac:dyDescent="0.25"/>
  <cols>
    <col min="1" max="1" width="16.42578125" customWidth="1"/>
    <col min="2" max="2" width="24.42578125" customWidth="1"/>
    <col min="3" max="3" width="25.140625" customWidth="1"/>
    <col min="4" max="4" width="32.140625" customWidth="1"/>
    <col min="5" max="5" width="29.42578125" customWidth="1"/>
    <col min="6" max="6" width="25" customWidth="1"/>
    <col min="7" max="7" width="24.5703125" customWidth="1"/>
    <col min="8" max="8" width="34.42578125" customWidth="1"/>
    <col min="9" max="9" width="18.42578125" customWidth="1"/>
    <col min="10" max="10" width="15.140625" customWidth="1"/>
    <col min="11" max="11" width="21.7109375" customWidth="1"/>
    <col min="12" max="12" width="14.42578125" customWidth="1"/>
    <col min="13" max="13" width="14.140625" customWidth="1"/>
    <col min="14" max="14" width="64.42578125" customWidth="1"/>
    <col min="15" max="34" width="10.7109375" customWidth="1"/>
  </cols>
  <sheetData>
    <row r="1" spans="1:34" ht="29.25" customHeight="1" x14ac:dyDescent="0.25">
      <c r="A1" s="720"/>
      <c r="B1" s="671"/>
      <c r="C1" s="937" t="s">
        <v>0</v>
      </c>
      <c r="D1" s="679"/>
      <c r="E1" s="679"/>
      <c r="F1" s="679"/>
      <c r="G1" s="679"/>
      <c r="H1" s="679"/>
      <c r="I1" s="679"/>
      <c r="J1" s="679"/>
      <c r="K1" s="679"/>
      <c r="L1" s="679"/>
      <c r="M1" s="679"/>
      <c r="N1" s="721"/>
    </row>
    <row r="2" spans="1:34" ht="33.75" customHeight="1" x14ac:dyDescent="0.25">
      <c r="A2" s="672"/>
      <c r="B2" s="674"/>
      <c r="C2" s="938" t="s">
        <v>922</v>
      </c>
      <c r="D2" s="723"/>
      <c r="E2" s="723"/>
      <c r="F2" s="723"/>
      <c r="G2" s="723"/>
      <c r="H2" s="723"/>
      <c r="I2" s="723"/>
      <c r="J2" s="723"/>
      <c r="K2" s="723"/>
      <c r="L2" s="723"/>
      <c r="M2" s="723"/>
      <c r="N2" s="724"/>
    </row>
    <row r="3" spans="1:34" ht="26.25" x14ac:dyDescent="0.4">
      <c r="A3" s="675"/>
      <c r="B3" s="677"/>
      <c r="C3" s="939" t="s">
        <v>389</v>
      </c>
      <c r="D3" s="682"/>
      <c r="E3" s="682"/>
      <c r="F3" s="682"/>
      <c r="G3" s="682"/>
      <c r="H3" s="940" t="s">
        <v>452</v>
      </c>
      <c r="I3" s="685"/>
      <c r="J3" s="685"/>
      <c r="K3" s="685"/>
      <c r="L3" s="685"/>
      <c r="M3" s="685"/>
      <c r="N3" s="688"/>
    </row>
    <row r="4" spans="1:34" ht="26.25" customHeight="1" x14ac:dyDescent="0.25">
      <c r="A4" s="941" t="s">
        <v>4</v>
      </c>
      <c r="B4" s="730"/>
      <c r="C4" s="942" t="s">
        <v>209</v>
      </c>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943"/>
    </row>
    <row r="5" spans="1:34" ht="54.75" customHeight="1" x14ac:dyDescent="0.25">
      <c r="A5" s="944" t="s">
        <v>5</v>
      </c>
      <c r="B5" s="688"/>
      <c r="C5" s="945" t="s">
        <v>453</v>
      </c>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943"/>
    </row>
    <row r="6" spans="1:34" x14ac:dyDescent="0.25">
      <c r="B6" s="161"/>
      <c r="C6" s="162"/>
      <c r="D6" s="162"/>
      <c r="J6" s="125"/>
      <c r="N6" s="162"/>
    </row>
    <row r="7" spans="1:34" ht="28.5" customHeight="1" x14ac:dyDescent="0.25">
      <c r="A7" s="946" t="s">
        <v>923</v>
      </c>
      <c r="B7" s="679"/>
      <c r="C7" s="679"/>
      <c r="D7" s="679"/>
      <c r="E7" s="679"/>
      <c r="F7" s="679"/>
      <c r="G7" s="679"/>
      <c r="H7" s="721"/>
      <c r="J7" s="125"/>
      <c r="N7" s="162"/>
    </row>
    <row r="8" spans="1:34" ht="35.25" customHeight="1" x14ac:dyDescent="0.25">
      <c r="A8" s="163" t="s">
        <v>24</v>
      </c>
      <c r="B8" s="164" t="s">
        <v>924</v>
      </c>
      <c r="C8" s="164" t="s">
        <v>925</v>
      </c>
      <c r="D8" s="164" t="s">
        <v>926</v>
      </c>
      <c r="E8" s="164" t="s">
        <v>927</v>
      </c>
      <c r="F8" s="164" t="s">
        <v>928</v>
      </c>
      <c r="G8" s="164" t="s">
        <v>929</v>
      </c>
      <c r="H8" s="165" t="s">
        <v>930</v>
      </c>
      <c r="J8" s="125"/>
      <c r="N8" s="162"/>
    </row>
    <row r="9" spans="1:34" ht="16.5" customHeight="1" x14ac:dyDescent="0.25">
      <c r="A9" s="166" t="s">
        <v>931</v>
      </c>
      <c r="B9" s="167"/>
      <c r="C9" s="168"/>
      <c r="D9" s="168"/>
      <c r="E9" s="158"/>
      <c r="F9" s="158"/>
      <c r="G9" s="158"/>
      <c r="H9" s="169" t="e">
        <f t="shared" ref="H9:H14" si="0">G9/E9</f>
        <v>#DIV/0!</v>
      </c>
      <c r="J9" s="125"/>
      <c r="N9" s="162"/>
    </row>
    <row r="10" spans="1:34" ht="16.5" customHeight="1" x14ac:dyDescent="0.25">
      <c r="A10" s="166" t="s">
        <v>932</v>
      </c>
      <c r="B10" s="167"/>
      <c r="C10" s="168"/>
      <c r="D10" s="168"/>
      <c r="E10" s="158"/>
      <c r="F10" s="158"/>
      <c r="G10" s="158"/>
      <c r="H10" s="169" t="e">
        <f t="shared" si="0"/>
        <v>#DIV/0!</v>
      </c>
      <c r="J10" s="125"/>
      <c r="N10" s="162"/>
    </row>
    <row r="11" spans="1:34" ht="16.5" customHeight="1" x14ac:dyDescent="0.25">
      <c r="A11" s="166" t="s">
        <v>933</v>
      </c>
      <c r="B11" s="167"/>
      <c r="C11" s="168"/>
      <c r="D11" s="168"/>
      <c r="E11" s="158"/>
      <c r="F11" s="158"/>
      <c r="G11" s="158"/>
      <c r="H11" s="169" t="e">
        <f t="shared" si="0"/>
        <v>#DIV/0!</v>
      </c>
      <c r="J11" s="125"/>
      <c r="N11" s="162"/>
    </row>
    <row r="12" spans="1:34" ht="16.5" customHeight="1" x14ac:dyDescent="0.25">
      <c r="A12" s="166" t="s">
        <v>934</v>
      </c>
      <c r="B12" s="167" t="s">
        <v>935</v>
      </c>
      <c r="C12" s="170">
        <v>2520913490</v>
      </c>
      <c r="D12" s="170">
        <v>2520913490</v>
      </c>
      <c r="E12" s="171">
        <v>1755277922</v>
      </c>
      <c r="F12" s="171">
        <v>368710252</v>
      </c>
      <c r="G12" s="171">
        <v>368710252</v>
      </c>
      <c r="H12" s="172">
        <f t="shared" si="0"/>
        <v>0.21005804686467194</v>
      </c>
      <c r="J12" s="125"/>
      <c r="N12" s="162"/>
    </row>
    <row r="13" spans="1:34" ht="16.5" customHeight="1" x14ac:dyDescent="0.25">
      <c r="A13" s="166" t="s">
        <v>936</v>
      </c>
      <c r="B13" s="167" t="s">
        <v>935</v>
      </c>
      <c r="C13" s="170">
        <v>2520913490</v>
      </c>
      <c r="D13" s="170">
        <v>2520913490</v>
      </c>
      <c r="E13" s="171">
        <v>1926726271</v>
      </c>
      <c r="F13" s="171">
        <v>774456097</v>
      </c>
      <c r="G13" s="171">
        <v>774456097</v>
      </c>
      <c r="H13" s="172">
        <f t="shared" si="0"/>
        <v>0.40195439728864318</v>
      </c>
      <c r="J13" s="125"/>
      <c r="N13" s="162"/>
    </row>
    <row r="14" spans="1:34" ht="16.5" customHeight="1" x14ac:dyDescent="0.25">
      <c r="A14" s="173" t="s">
        <v>937</v>
      </c>
      <c r="B14" s="167" t="s">
        <v>935</v>
      </c>
      <c r="C14" s="170">
        <v>2520913490</v>
      </c>
      <c r="D14" s="170">
        <v>2520913490</v>
      </c>
      <c r="E14" s="171">
        <v>2444467440</v>
      </c>
      <c r="F14" s="171">
        <v>1650914867</v>
      </c>
      <c r="G14" s="171">
        <v>1650914867</v>
      </c>
      <c r="H14" s="172">
        <f t="shared" si="0"/>
        <v>0.67536791040260291</v>
      </c>
      <c r="J14" s="125"/>
      <c r="N14" s="162"/>
    </row>
    <row r="15" spans="1:34" ht="16.5" customHeight="1" x14ac:dyDescent="0.25">
      <c r="B15" s="161"/>
      <c r="C15" s="162"/>
      <c r="D15" s="162"/>
      <c r="J15" s="125"/>
      <c r="N15" s="162"/>
    </row>
    <row r="16" spans="1:34" ht="26.25" customHeight="1" x14ac:dyDescent="0.25">
      <c r="A16" s="946" t="s">
        <v>938</v>
      </c>
      <c r="B16" s="679"/>
      <c r="C16" s="679"/>
      <c r="D16" s="679"/>
      <c r="E16" s="679"/>
      <c r="F16" s="679"/>
      <c r="G16" s="679"/>
      <c r="H16" s="721"/>
      <c r="J16" s="125"/>
      <c r="N16" s="162"/>
    </row>
    <row r="17" spans="1:14" ht="25.5" customHeight="1" x14ac:dyDescent="0.25">
      <c r="A17" s="163" t="s">
        <v>25</v>
      </c>
      <c r="B17" s="164" t="s">
        <v>924</v>
      </c>
      <c r="C17" s="164" t="s">
        <v>925</v>
      </c>
      <c r="D17" s="164" t="s">
        <v>926</v>
      </c>
      <c r="E17" s="164" t="s">
        <v>927</v>
      </c>
      <c r="F17" s="164" t="s">
        <v>928</v>
      </c>
      <c r="G17" s="164" t="s">
        <v>929</v>
      </c>
      <c r="H17" s="165" t="s">
        <v>930</v>
      </c>
      <c r="J17" s="125"/>
      <c r="K17" s="174"/>
      <c r="N17" s="162"/>
    </row>
    <row r="18" spans="1:14" ht="16.5" customHeight="1" x14ac:dyDescent="0.25">
      <c r="A18" s="175" t="s">
        <v>939</v>
      </c>
      <c r="B18" s="167" t="s">
        <v>935</v>
      </c>
      <c r="C18" s="176">
        <v>3459505000</v>
      </c>
      <c r="D18" s="176">
        <v>3459505000</v>
      </c>
      <c r="E18" s="177">
        <v>0</v>
      </c>
      <c r="F18" s="177">
        <v>0</v>
      </c>
      <c r="G18" s="177">
        <v>0</v>
      </c>
      <c r="H18" s="169" t="e">
        <f t="shared" ref="H18:H29" si="1">G18/E18</f>
        <v>#DIV/0!</v>
      </c>
      <c r="J18" s="125"/>
      <c r="N18" s="162"/>
    </row>
    <row r="19" spans="1:14" ht="16.5" customHeight="1" x14ac:dyDescent="0.25">
      <c r="A19" s="175" t="s">
        <v>940</v>
      </c>
      <c r="B19" s="167" t="s">
        <v>935</v>
      </c>
      <c r="C19" s="176">
        <v>3459505000</v>
      </c>
      <c r="D19" s="176">
        <v>3459505000</v>
      </c>
      <c r="E19" s="177">
        <v>1382696694</v>
      </c>
      <c r="F19" s="177">
        <v>5482052</v>
      </c>
      <c r="G19" s="177">
        <v>5482052</v>
      </c>
      <c r="H19" s="178">
        <f t="shared" si="1"/>
        <v>3.9647538204065453E-3</v>
      </c>
      <c r="J19" s="125"/>
      <c r="K19" s="159"/>
      <c r="N19" s="162"/>
    </row>
    <row r="20" spans="1:14" ht="16.5" customHeight="1" x14ac:dyDescent="0.25">
      <c r="A20" s="175" t="s">
        <v>941</v>
      </c>
      <c r="B20" s="167" t="s">
        <v>935</v>
      </c>
      <c r="C20" s="176">
        <v>3459505000</v>
      </c>
      <c r="D20" s="176">
        <v>3459505000</v>
      </c>
      <c r="E20" s="177">
        <v>2485583694</v>
      </c>
      <c r="F20" s="177">
        <v>75353695</v>
      </c>
      <c r="G20" s="177">
        <v>75353695</v>
      </c>
      <c r="H20" s="178">
        <f t="shared" si="1"/>
        <v>3.03162976092488E-2</v>
      </c>
      <c r="J20" s="125"/>
      <c r="K20" s="174"/>
      <c r="N20" s="162"/>
    </row>
    <row r="21" spans="1:14" ht="16.5" customHeight="1" x14ac:dyDescent="0.25">
      <c r="A21" s="175" t="s">
        <v>942</v>
      </c>
      <c r="B21" s="167" t="s">
        <v>935</v>
      </c>
      <c r="C21" s="176">
        <v>2933065449</v>
      </c>
      <c r="D21" s="176">
        <v>2933065449</v>
      </c>
      <c r="E21" s="177">
        <v>2693464694</v>
      </c>
      <c r="F21" s="177">
        <v>266041894</v>
      </c>
      <c r="G21" s="177">
        <v>266041894</v>
      </c>
      <c r="H21" s="178">
        <f t="shared" si="1"/>
        <v>9.8773113526469711E-2</v>
      </c>
      <c r="J21" s="125"/>
      <c r="N21" s="162"/>
    </row>
    <row r="22" spans="1:14" ht="16.5" customHeight="1" x14ac:dyDescent="0.25">
      <c r="A22" s="175" t="s">
        <v>943</v>
      </c>
      <c r="B22" s="167" t="s">
        <v>935</v>
      </c>
      <c r="C22" s="176">
        <v>2933065449</v>
      </c>
      <c r="D22" s="176">
        <v>2933065449</v>
      </c>
      <c r="E22" s="177">
        <v>2693464694</v>
      </c>
      <c r="F22" s="177">
        <v>567682495</v>
      </c>
      <c r="G22" s="177">
        <v>567682495</v>
      </c>
      <c r="H22" s="178">
        <f t="shared" si="1"/>
        <v>0.21076292414917394</v>
      </c>
      <c r="J22" s="125"/>
      <c r="N22" s="162"/>
    </row>
    <row r="23" spans="1:14" ht="16.5" customHeight="1" x14ac:dyDescent="0.25">
      <c r="A23" s="175" t="s">
        <v>944</v>
      </c>
      <c r="B23" s="167" t="s">
        <v>935</v>
      </c>
      <c r="C23" s="176">
        <v>2933065449</v>
      </c>
      <c r="D23" s="176">
        <v>2933065449</v>
      </c>
      <c r="E23" s="177">
        <v>2822093894</v>
      </c>
      <c r="F23" s="177">
        <v>883801395</v>
      </c>
      <c r="G23" s="177">
        <v>883801395</v>
      </c>
      <c r="H23" s="178">
        <f t="shared" si="1"/>
        <v>0.31317221474417745</v>
      </c>
      <c r="J23" s="125"/>
      <c r="N23" s="162"/>
    </row>
    <row r="24" spans="1:14" ht="16.5" customHeight="1" x14ac:dyDescent="0.25">
      <c r="A24" s="175" t="s">
        <v>931</v>
      </c>
      <c r="B24" s="167" t="s">
        <v>935</v>
      </c>
      <c r="C24" s="176">
        <v>2933065449</v>
      </c>
      <c r="D24" s="176">
        <v>2933065449</v>
      </c>
      <c r="E24" s="177">
        <v>2822872804</v>
      </c>
      <c r="F24" s="177">
        <v>1202397838</v>
      </c>
      <c r="G24" s="177">
        <v>1202397838</v>
      </c>
      <c r="H24" s="178">
        <f t="shared" si="1"/>
        <v>0.42594828796260564</v>
      </c>
      <c r="J24" s="125"/>
      <c r="N24" s="162"/>
    </row>
    <row r="25" spans="1:14" ht="16.5" customHeight="1" x14ac:dyDescent="0.25">
      <c r="A25" s="175" t="s">
        <v>932</v>
      </c>
      <c r="B25" s="167" t="s">
        <v>935</v>
      </c>
      <c r="C25" s="176">
        <v>3454840816</v>
      </c>
      <c r="D25" s="176">
        <v>3454840816</v>
      </c>
      <c r="E25" s="177">
        <v>2866414804</v>
      </c>
      <c r="F25" s="177">
        <v>1512926698</v>
      </c>
      <c r="G25" s="177">
        <v>1512926698</v>
      </c>
      <c r="H25" s="178">
        <f t="shared" si="1"/>
        <v>0.52781150023672563</v>
      </c>
      <c r="J25" s="125"/>
      <c r="N25" s="162"/>
    </row>
    <row r="26" spans="1:14" ht="16.5" customHeight="1" x14ac:dyDescent="0.25">
      <c r="A26" s="175" t="s">
        <v>933</v>
      </c>
      <c r="B26" s="167" t="s">
        <v>935</v>
      </c>
      <c r="C26" s="176">
        <v>3454840816</v>
      </c>
      <c r="D26" s="176">
        <v>3454840816</v>
      </c>
      <c r="E26" s="177">
        <v>3132235804</v>
      </c>
      <c r="F26" s="177">
        <v>1807136965</v>
      </c>
      <c r="G26" s="177">
        <v>1807136965</v>
      </c>
      <c r="H26" s="178">
        <f t="shared" si="1"/>
        <v>0.5769479305141102</v>
      </c>
      <c r="J26" s="125"/>
      <c r="N26" s="162"/>
    </row>
    <row r="27" spans="1:14" ht="16.5" customHeight="1" x14ac:dyDescent="0.25">
      <c r="A27" s="175" t="s">
        <v>934</v>
      </c>
      <c r="B27" s="167" t="s">
        <v>935</v>
      </c>
      <c r="C27" s="176">
        <v>3454840816</v>
      </c>
      <c r="D27" s="176">
        <v>3454840816</v>
      </c>
      <c r="E27" s="177">
        <v>3169950704</v>
      </c>
      <c r="F27" s="171">
        <v>2131892495</v>
      </c>
      <c r="G27" s="171">
        <v>2131892495</v>
      </c>
      <c r="H27" s="178">
        <f t="shared" si="1"/>
        <v>0.67253175019721068</v>
      </c>
      <c r="J27" s="125"/>
      <c r="N27" s="162"/>
    </row>
    <row r="28" spans="1:14" ht="16.5" customHeight="1" x14ac:dyDescent="0.25">
      <c r="A28" s="175" t="s">
        <v>936</v>
      </c>
      <c r="B28" s="167" t="s">
        <v>935</v>
      </c>
      <c r="C28" s="176">
        <v>3454840816</v>
      </c>
      <c r="D28" s="176">
        <v>3454840816</v>
      </c>
      <c r="E28" s="177">
        <v>3286319931</v>
      </c>
      <c r="F28" s="171">
        <v>2513857523</v>
      </c>
      <c r="G28" s="171">
        <v>2513857523</v>
      </c>
      <c r="H28" s="178">
        <f t="shared" si="1"/>
        <v>0.7649460721357868</v>
      </c>
      <c r="J28" s="125"/>
      <c r="N28" s="162"/>
    </row>
    <row r="29" spans="1:14" ht="16.5" customHeight="1" x14ac:dyDescent="0.25">
      <c r="A29" s="179" t="s">
        <v>937</v>
      </c>
      <c r="B29" s="167" t="s">
        <v>935</v>
      </c>
      <c r="C29" s="176">
        <v>3454840816</v>
      </c>
      <c r="D29" s="176">
        <v>3454840816</v>
      </c>
      <c r="E29" s="177">
        <v>3342341664</v>
      </c>
      <c r="F29" s="171">
        <v>2973631264</v>
      </c>
      <c r="G29" s="171">
        <v>2973631264</v>
      </c>
      <c r="H29" s="178">
        <f t="shared" si="1"/>
        <v>0.88968500618253965</v>
      </c>
      <c r="J29" s="125"/>
      <c r="N29" s="162"/>
    </row>
    <row r="30" spans="1:14" ht="16.5" customHeight="1" x14ac:dyDescent="0.25">
      <c r="B30" s="161"/>
      <c r="C30" s="162"/>
      <c r="D30" s="162"/>
      <c r="J30" s="125"/>
      <c r="N30" s="162"/>
    </row>
    <row r="31" spans="1:14" ht="24.75" customHeight="1" x14ac:dyDescent="0.25">
      <c r="A31" s="946" t="s">
        <v>945</v>
      </c>
      <c r="B31" s="679"/>
      <c r="C31" s="679"/>
      <c r="D31" s="679"/>
      <c r="E31" s="679"/>
      <c r="F31" s="679"/>
      <c r="G31" s="679"/>
      <c r="H31" s="721"/>
      <c r="J31" s="125"/>
      <c r="N31" s="162"/>
    </row>
    <row r="32" spans="1:14" ht="25.5" customHeight="1" x14ac:dyDescent="0.25">
      <c r="A32" s="163" t="s">
        <v>26</v>
      </c>
      <c r="B32" s="164" t="s">
        <v>924</v>
      </c>
      <c r="C32" s="164" t="s">
        <v>925</v>
      </c>
      <c r="D32" s="164" t="s">
        <v>926</v>
      </c>
      <c r="E32" s="164" t="s">
        <v>927</v>
      </c>
      <c r="F32" s="164" t="s">
        <v>928</v>
      </c>
      <c r="G32" s="164" t="s">
        <v>929</v>
      </c>
      <c r="H32" s="165" t="s">
        <v>930</v>
      </c>
      <c r="J32" s="125"/>
      <c r="N32" s="162"/>
    </row>
    <row r="33" spans="1:14" ht="16.5" customHeight="1" x14ac:dyDescent="0.25">
      <c r="A33" s="175" t="s">
        <v>939</v>
      </c>
      <c r="B33" s="167" t="s">
        <v>946</v>
      </c>
      <c r="C33" s="170">
        <v>3695776000</v>
      </c>
      <c r="D33" s="170">
        <v>3695776000</v>
      </c>
      <c r="E33" s="171">
        <v>3356030000</v>
      </c>
      <c r="F33" s="171">
        <v>0</v>
      </c>
      <c r="G33" s="171">
        <v>0</v>
      </c>
      <c r="H33" s="180">
        <f t="shared" ref="H33:H44" si="2">G33/E33</f>
        <v>0</v>
      </c>
      <c r="J33" s="125"/>
      <c r="N33" s="162"/>
    </row>
    <row r="34" spans="1:14" ht="16.5" customHeight="1" x14ac:dyDescent="0.25">
      <c r="A34" s="175" t="s">
        <v>940</v>
      </c>
      <c r="B34" s="167" t="s">
        <v>946</v>
      </c>
      <c r="C34" s="181">
        <v>3695776000</v>
      </c>
      <c r="D34" s="181">
        <v>3695776000</v>
      </c>
      <c r="E34" s="181">
        <v>3356030000</v>
      </c>
      <c r="F34" s="182">
        <v>21266766</v>
      </c>
      <c r="G34" s="182">
        <v>21266766</v>
      </c>
      <c r="H34" s="180">
        <f t="shared" si="2"/>
        <v>6.3368819706617644E-3</v>
      </c>
      <c r="J34" s="125"/>
      <c r="N34" s="162"/>
    </row>
    <row r="35" spans="1:14" ht="16.5" customHeight="1" x14ac:dyDescent="0.25">
      <c r="A35" s="175" t="s">
        <v>941</v>
      </c>
      <c r="B35" s="167" t="s">
        <v>946</v>
      </c>
      <c r="C35" s="170">
        <v>3695776000</v>
      </c>
      <c r="D35" s="170">
        <v>3695776000</v>
      </c>
      <c r="E35" s="171">
        <v>3358487000</v>
      </c>
      <c r="F35" s="171">
        <v>306346734</v>
      </c>
      <c r="G35" s="171">
        <v>306346734</v>
      </c>
      <c r="H35" s="172">
        <f t="shared" si="2"/>
        <v>9.1215697425656259E-2</v>
      </c>
      <c r="J35" s="125"/>
      <c r="N35" s="162"/>
    </row>
    <row r="36" spans="1:14" ht="16.5" customHeight="1" x14ac:dyDescent="0.25">
      <c r="A36" s="175" t="s">
        <v>942</v>
      </c>
      <c r="B36" s="167" t="s">
        <v>946</v>
      </c>
      <c r="C36" s="170">
        <v>3695776000</v>
      </c>
      <c r="D36" s="181">
        <v>3695776000</v>
      </c>
      <c r="E36" s="182">
        <v>3360027000</v>
      </c>
      <c r="F36" s="171">
        <v>602425567</v>
      </c>
      <c r="G36" s="171">
        <v>602425567</v>
      </c>
      <c r="H36" s="172">
        <f t="shared" si="2"/>
        <v>0.17929188277356103</v>
      </c>
      <c r="J36" s="125"/>
      <c r="N36" s="162"/>
    </row>
    <row r="37" spans="1:14" ht="16.5" customHeight="1" x14ac:dyDescent="0.25">
      <c r="A37" s="175" t="s">
        <v>943</v>
      </c>
      <c r="B37" s="167" t="s">
        <v>946</v>
      </c>
      <c r="C37" s="170">
        <v>3695776000</v>
      </c>
      <c r="D37" s="181">
        <v>3695776000</v>
      </c>
      <c r="E37" s="182">
        <v>3360027000</v>
      </c>
      <c r="F37" s="171">
        <v>947602567</v>
      </c>
      <c r="G37" s="171">
        <v>947602567</v>
      </c>
      <c r="H37" s="172">
        <f t="shared" si="2"/>
        <v>0.28202230726122141</v>
      </c>
      <c r="J37" s="125"/>
      <c r="N37" s="162"/>
    </row>
    <row r="38" spans="1:14" ht="16.5" customHeight="1" x14ac:dyDescent="0.25">
      <c r="A38" s="175" t="s">
        <v>944</v>
      </c>
      <c r="B38" s="167" t="s">
        <v>946</v>
      </c>
      <c r="C38" s="170">
        <v>3695776000</v>
      </c>
      <c r="D38" s="181">
        <v>3695776000</v>
      </c>
      <c r="E38" s="171">
        <v>3416425000</v>
      </c>
      <c r="F38" s="171">
        <v>1261473567</v>
      </c>
      <c r="G38" s="171">
        <v>1261473567</v>
      </c>
      <c r="H38" s="172">
        <f t="shared" si="2"/>
        <v>0.36923789253386213</v>
      </c>
      <c r="J38" s="125"/>
      <c r="N38" s="162"/>
    </row>
    <row r="39" spans="1:14" ht="16.5" customHeight="1" x14ac:dyDescent="0.25">
      <c r="A39" s="175" t="s">
        <v>931</v>
      </c>
      <c r="B39" s="167" t="s">
        <v>946</v>
      </c>
      <c r="C39" s="170">
        <v>3695776000</v>
      </c>
      <c r="D39" s="181">
        <v>3695776000</v>
      </c>
      <c r="E39" s="171">
        <v>3564585573</v>
      </c>
      <c r="F39" s="171">
        <v>1624249773</v>
      </c>
      <c r="G39" s="171">
        <v>1624249773</v>
      </c>
      <c r="H39" s="172">
        <f t="shared" si="2"/>
        <v>0.45566300478319305</v>
      </c>
      <c r="J39" s="125"/>
      <c r="N39" s="162"/>
    </row>
    <row r="40" spans="1:14" ht="16.5" customHeight="1" x14ac:dyDescent="0.25">
      <c r="A40" s="175" t="s">
        <v>932</v>
      </c>
      <c r="B40" s="167" t="s">
        <v>946</v>
      </c>
      <c r="C40" s="170">
        <v>3695776000</v>
      </c>
      <c r="D40" s="170">
        <v>3895776000</v>
      </c>
      <c r="E40" s="171">
        <v>3564585573</v>
      </c>
      <c r="F40" s="171">
        <v>1920259363</v>
      </c>
      <c r="G40" s="171">
        <v>1920259363</v>
      </c>
      <c r="H40" s="172">
        <f t="shared" si="2"/>
        <v>0.53870480135054954</v>
      </c>
      <c r="J40" s="125"/>
      <c r="N40" s="162"/>
    </row>
    <row r="41" spans="1:14" ht="16.5" customHeight="1" x14ac:dyDescent="0.25">
      <c r="A41" s="175" t="s">
        <v>933</v>
      </c>
      <c r="B41" s="167" t="s">
        <v>946</v>
      </c>
      <c r="C41" s="170">
        <v>3695776000</v>
      </c>
      <c r="D41" s="170">
        <v>4157031762</v>
      </c>
      <c r="E41" s="171">
        <v>3731016930</v>
      </c>
      <c r="F41" s="171">
        <v>2242538999</v>
      </c>
      <c r="G41" s="171">
        <v>2242538999</v>
      </c>
      <c r="H41" s="172">
        <f t="shared" si="2"/>
        <v>0.60105302148816564</v>
      </c>
      <c r="J41" s="125"/>
      <c r="N41" s="162"/>
    </row>
    <row r="42" spans="1:14" ht="16.5" customHeight="1" x14ac:dyDescent="0.25">
      <c r="A42" s="175" t="s">
        <v>934</v>
      </c>
      <c r="B42" s="167" t="s">
        <v>946</v>
      </c>
      <c r="C42" s="170">
        <v>3695776000</v>
      </c>
      <c r="D42" s="170">
        <v>4252031762</v>
      </c>
      <c r="E42" s="182">
        <v>3774894759</v>
      </c>
      <c r="F42" s="171">
        <v>2563833963</v>
      </c>
      <c r="G42" s="171">
        <v>2563833963</v>
      </c>
      <c r="H42" s="172">
        <f t="shared" si="2"/>
        <v>0.67918024916784181</v>
      </c>
      <c r="J42" s="125"/>
      <c r="N42" s="162"/>
    </row>
    <row r="43" spans="1:14" ht="16.5" customHeight="1" x14ac:dyDescent="0.25">
      <c r="A43" s="175" t="s">
        <v>936</v>
      </c>
      <c r="B43" s="167" t="s">
        <v>946</v>
      </c>
      <c r="C43" s="170">
        <v>3695776001</v>
      </c>
      <c r="D43" s="170">
        <v>4252031762</v>
      </c>
      <c r="E43" s="171">
        <v>3887653258</v>
      </c>
      <c r="F43" s="171">
        <v>2905329195</v>
      </c>
      <c r="G43" s="171">
        <v>2905329195</v>
      </c>
      <c r="H43" s="172">
        <f t="shared" si="2"/>
        <v>0.74732209952660344</v>
      </c>
      <c r="J43" s="125"/>
      <c r="N43" s="162"/>
    </row>
    <row r="44" spans="1:14" ht="16.5" customHeight="1" x14ac:dyDescent="0.25">
      <c r="A44" s="179" t="s">
        <v>937</v>
      </c>
      <c r="B44" s="167" t="s">
        <v>946</v>
      </c>
      <c r="C44" s="170">
        <v>3695776001</v>
      </c>
      <c r="D44" s="170">
        <v>4252031762</v>
      </c>
      <c r="E44" s="171">
        <v>3973098913</v>
      </c>
      <c r="F44" s="171">
        <v>3322461950</v>
      </c>
      <c r="G44" s="171">
        <v>3322461950</v>
      </c>
      <c r="H44" s="172">
        <f t="shared" si="2"/>
        <v>0.83623942488038427</v>
      </c>
      <c r="J44" s="125"/>
      <c r="N44" s="162"/>
    </row>
    <row r="45" spans="1:14" ht="16.5" customHeight="1" x14ac:dyDescent="0.25">
      <c r="B45" s="161"/>
      <c r="C45" s="162"/>
      <c r="D45" s="162"/>
      <c r="J45" s="125"/>
      <c r="N45" s="162"/>
    </row>
    <row r="46" spans="1:14" ht="27.75" customHeight="1" x14ac:dyDescent="0.25">
      <c r="A46" s="946" t="s">
        <v>947</v>
      </c>
      <c r="B46" s="679"/>
      <c r="C46" s="679"/>
      <c r="D46" s="679"/>
      <c r="E46" s="679"/>
      <c r="F46" s="679"/>
      <c r="G46" s="679"/>
      <c r="H46" s="721"/>
      <c r="J46" s="125"/>
      <c r="N46" s="162"/>
    </row>
    <row r="47" spans="1:14" ht="25.5" customHeight="1" x14ac:dyDescent="0.25">
      <c r="A47" s="163" t="s">
        <v>27</v>
      </c>
      <c r="B47" s="164" t="s">
        <v>924</v>
      </c>
      <c r="C47" s="164" t="s">
        <v>925</v>
      </c>
      <c r="D47" s="164" t="s">
        <v>926</v>
      </c>
      <c r="E47" s="164" t="s">
        <v>927</v>
      </c>
      <c r="F47" s="164" t="s">
        <v>928</v>
      </c>
      <c r="G47" s="164" t="s">
        <v>929</v>
      </c>
      <c r="H47" s="165" t="s">
        <v>930</v>
      </c>
      <c r="J47" s="125"/>
      <c r="N47" s="162"/>
    </row>
    <row r="48" spans="1:14" ht="16.5" customHeight="1" x14ac:dyDescent="0.25">
      <c r="A48" s="175" t="s">
        <v>939</v>
      </c>
      <c r="B48" s="167" t="s">
        <v>946</v>
      </c>
      <c r="C48" s="183">
        <v>4845293000</v>
      </c>
      <c r="D48" s="183">
        <v>4845293000</v>
      </c>
      <c r="E48" s="184">
        <v>727612000</v>
      </c>
      <c r="F48" s="185">
        <v>0</v>
      </c>
      <c r="G48" s="185">
        <v>0</v>
      </c>
      <c r="H48" s="169">
        <f t="shared" ref="H48:H59" si="3">G48/E48</f>
        <v>0</v>
      </c>
      <c r="J48" s="125"/>
      <c r="N48" s="162"/>
    </row>
    <row r="49" spans="1:34" ht="16.5" customHeight="1" x14ac:dyDescent="0.25">
      <c r="A49" s="175" t="s">
        <v>940</v>
      </c>
      <c r="B49" s="167" t="s">
        <v>946</v>
      </c>
      <c r="C49" s="183">
        <v>4845293000</v>
      </c>
      <c r="D49" s="183">
        <v>4845293000</v>
      </c>
      <c r="E49" s="184">
        <v>2952186000</v>
      </c>
      <c r="F49" s="158">
        <v>0</v>
      </c>
      <c r="G49" s="158">
        <v>0</v>
      </c>
      <c r="H49" s="169">
        <f t="shared" si="3"/>
        <v>0</v>
      </c>
      <c r="J49" s="125"/>
      <c r="N49" s="162"/>
    </row>
    <row r="50" spans="1:34" ht="16.5" customHeight="1" x14ac:dyDescent="0.25">
      <c r="A50" s="175" t="s">
        <v>941</v>
      </c>
      <c r="B50" s="167" t="s">
        <v>946</v>
      </c>
      <c r="C50" s="183">
        <v>4845293000</v>
      </c>
      <c r="D50" s="183">
        <v>4845293000</v>
      </c>
      <c r="E50" s="184">
        <v>3223395526</v>
      </c>
      <c r="F50" s="186">
        <v>104990725</v>
      </c>
      <c r="G50" s="186">
        <v>104990725</v>
      </c>
      <c r="H50" s="187">
        <f t="shared" si="3"/>
        <v>3.2571468239979189E-2</v>
      </c>
      <c r="J50" s="125"/>
      <c r="N50" s="162"/>
    </row>
    <row r="51" spans="1:34" ht="16.5" customHeight="1" x14ac:dyDescent="0.25">
      <c r="A51" s="175" t="s">
        <v>942</v>
      </c>
      <c r="B51" s="167" t="s">
        <v>946</v>
      </c>
      <c r="C51" s="183">
        <v>4845293000</v>
      </c>
      <c r="D51" s="183">
        <v>4845293000</v>
      </c>
      <c r="E51" s="184">
        <v>3306450136</v>
      </c>
      <c r="F51" s="186">
        <v>373086236</v>
      </c>
      <c r="G51" s="186">
        <v>373086236</v>
      </c>
      <c r="H51" s="187">
        <f t="shared" si="3"/>
        <v>0.11283588763003199</v>
      </c>
      <c r="J51" s="125"/>
      <c r="N51" s="162"/>
    </row>
    <row r="52" spans="1:34" ht="16.5" customHeight="1" x14ac:dyDescent="0.25">
      <c r="A52" s="175" t="s">
        <v>943</v>
      </c>
      <c r="B52" s="167" t="s">
        <v>946</v>
      </c>
      <c r="C52" s="183">
        <v>4845293000</v>
      </c>
      <c r="D52" s="183">
        <v>4845293000</v>
      </c>
      <c r="E52" s="184">
        <v>3332315746</v>
      </c>
      <c r="F52" s="186">
        <v>658669246</v>
      </c>
      <c r="G52" s="186">
        <v>658669246</v>
      </c>
      <c r="H52" s="187">
        <f t="shared" si="3"/>
        <v>0.19766111503408537</v>
      </c>
      <c r="J52" s="125"/>
      <c r="N52" s="162"/>
    </row>
    <row r="53" spans="1:34" ht="16.5" customHeight="1" x14ac:dyDescent="0.25">
      <c r="A53" s="175" t="s">
        <v>944</v>
      </c>
      <c r="B53" s="167" t="s">
        <v>946</v>
      </c>
      <c r="C53" s="183">
        <v>4845293000</v>
      </c>
      <c r="D53" s="183">
        <v>4845293000</v>
      </c>
      <c r="E53" s="184">
        <v>3349366212</v>
      </c>
      <c r="F53" s="186">
        <v>1075780900</v>
      </c>
      <c r="G53" s="186">
        <v>1075780900</v>
      </c>
      <c r="H53" s="187">
        <f t="shared" si="3"/>
        <v>0.32118939283071746</v>
      </c>
      <c r="J53" s="125"/>
      <c r="N53" s="162"/>
    </row>
    <row r="54" spans="1:34" ht="16.5" customHeight="1" x14ac:dyDescent="0.25">
      <c r="A54" s="188" t="s">
        <v>931</v>
      </c>
      <c r="B54" s="189" t="s">
        <v>946</v>
      </c>
      <c r="C54" s="190">
        <v>4845293000</v>
      </c>
      <c r="D54" s="190">
        <v>4845293000</v>
      </c>
      <c r="E54" s="184">
        <v>3895264300</v>
      </c>
      <c r="F54" s="191">
        <v>1427614970</v>
      </c>
      <c r="G54" s="191">
        <v>1427614970</v>
      </c>
      <c r="H54" s="192">
        <f t="shared" si="3"/>
        <v>0.36650015507291767</v>
      </c>
      <c r="I54" s="1"/>
      <c r="J54" s="193"/>
      <c r="K54" s="1"/>
      <c r="L54" s="1"/>
      <c r="M54" s="1"/>
      <c r="N54" s="194"/>
      <c r="O54" s="1"/>
      <c r="P54" s="1"/>
      <c r="Q54" s="1"/>
      <c r="R54" s="1"/>
      <c r="S54" s="1"/>
      <c r="T54" s="1"/>
      <c r="U54" s="1"/>
      <c r="V54" s="1"/>
      <c r="W54" s="1"/>
      <c r="X54" s="1"/>
      <c r="Y54" s="1"/>
      <c r="Z54" s="1"/>
      <c r="AA54" s="1"/>
      <c r="AB54" s="1"/>
      <c r="AC54" s="1"/>
      <c r="AD54" s="1"/>
      <c r="AE54" s="1"/>
      <c r="AF54" s="1"/>
      <c r="AG54" s="1"/>
      <c r="AH54" s="1"/>
    </row>
    <row r="55" spans="1:34" ht="16.5" customHeight="1" x14ac:dyDescent="0.25">
      <c r="A55" s="175" t="s">
        <v>932</v>
      </c>
      <c r="B55" s="167" t="s">
        <v>946</v>
      </c>
      <c r="C55" s="183">
        <v>4845293000</v>
      </c>
      <c r="D55" s="183">
        <v>4845293000</v>
      </c>
      <c r="E55" s="185">
        <v>4059532388</v>
      </c>
      <c r="F55" s="186">
        <v>1789461200</v>
      </c>
      <c r="G55" s="186">
        <v>1789461200</v>
      </c>
      <c r="H55" s="187">
        <f t="shared" si="3"/>
        <v>0.44080475999887503</v>
      </c>
      <c r="J55" s="125"/>
      <c r="N55" s="162"/>
    </row>
    <row r="56" spans="1:34" ht="16.5" customHeight="1" x14ac:dyDescent="0.25">
      <c r="A56" s="188" t="s">
        <v>933</v>
      </c>
      <c r="B56" s="189" t="s">
        <v>946</v>
      </c>
      <c r="C56" s="190">
        <v>4845293000</v>
      </c>
      <c r="D56" s="190">
        <v>4845293000</v>
      </c>
      <c r="E56" s="184">
        <v>4163439476</v>
      </c>
      <c r="F56" s="191">
        <v>2138316684</v>
      </c>
      <c r="G56" s="191">
        <v>2138316684</v>
      </c>
      <c r="H56" s="192">
        <f t="shared" si="3"/>
        <v>0.51359379578501163</v>
      </c>
      <c r="I56" s="1"/>
      <c r="J56" s="193"/>
      <c r="K56" s="1"/>
      <c r="L56" s="1"/>
      <c r="M56" s="1"/>
      <c r="N56" s="194"/>
      <c r="O56" s="1"/>
      <c r="P56" s="1"/>
      <c r="Q56" s="1"/>
      <c r="R56" s="1"/>
      <c r="S56" s="1"/>
      <c r="T56" s="1"/>
      <c r="U56" s="1"/>
      <c r="V56" s="1"/>
      <c r="W56" s="1"/>
      <c r="X56" s="1"/>
      <c r="Y56" s="1"/>
      <c r="Z56" s="1"/>
      <c r="AA56" s="1"/>
      <c r="AB56" s="1"/>
      <c r="AC56" s="1"/>
      <c r="AD56" s="1"/>
      <c r="AE56" s="1"/>
      <c r="AF56" s="1"/>
      <c r="AG56" s="1"/>
      <c r="AH56" s="1"/>
    </row>
    <row r="57" spans="1:34" ht="16.5" customHeight="1" x14ac:dyDescent="0.25">
      <c r="A57" s="188" t="s">
        <v>934</v>
      </c>
      <c r="B57" s="189" t="s">
        <v>946</v>
      </c>
      <c r="C57" s="190">
        <v>4845293000</v>
      </c>
      <c r="D57" s="190">
        <v>4845293000</v>
      </c>
      <c r="E57" s="184">
        <v>4164174000</v>
      </c>
      <c r="F57" s="191">
        <v>2566499574</v>
      </c>
      <c r="G57" s="191">
        <v>2566499574</v>
      </c>
      <c r="H57" s="192">
        <f t="shared" si="3"/>
        <v>0.61632861018775875</v>
      </c>
      <c r="I57" s="1"/>
      <c r="J57" s="193"/>
      <c r="K57" s="1"/>
      <c r="L57" s="1"/>
      <c r="M57" s="1"/>
      <c r="N57" s="194"/>
      <c r="O57" s="1"/>
      <c r="P57" s="1"/>
      <c r="Q57" s="1"/>
      <c r="R57" s="1"/>
      <c r="S57" s="1"/>
      <c r="T57" s="1"/>
      <c r="U57" s="1"/>
      <c r="V57" s="1"/>
      <c r="W57" s="1"/>
      <c r="X57" s="1"/>
      <c r="Y57" s="1"/>
      <c r="Z57" s="1"/>
      <c r="AA57" s="1"/>
      <c r="AB57" s="1"/>
      <c r="AC57" s="1"/>
      <c r="AD57" s="1"/>
      <c r="AE57" s="1"/>
      <c r="AF57" s="1"/>
      <c r="AG57" s="1"/>
      <c r="AH57" s="1"/>
    </row>
    <row r="58" spans="1:34" ht="16.5" customHeight="1" x14ac:dyDescent="0.25">
      <c r="A58" s="195" t="s">
        <v>936</v>
      </c>
      <c r="B58" s="196" t="s">
        <v>946</v>
      </c>
      <c r="C58" s="190">
        <v>4845293000</v>
      </c>
      <c r="D58" s="197">
        <v>4756346000</v>
      </c>
      <c r="E58" s="198">
        <v>4199569000</v>
      </c>
      <c r="F58" s="199">
        <v>2907610406</v>
      </c>
      <c r="G58" s="199">
        <v>2907610406</v>
      </c>
      <c r="H58" s="200">
        <f t="shared" si="3"/>
        <v>0.69235924115069902</v>
      </c>
      <c r="I58" s="201"/>
      <c r="J58" s="202"/>
      <c r="K58" s="201"/>
      <c r="L58" s="201"/>
      <c r="M58" s="201"/>
      <c r="N58" s="203"/>
      <c r="O58" s="201"/>
      <c r="P58" s="201"/>
      <c r="Q58" s="201"/>
      <c r="R58" s="201"/>
      <c r="S58" s="201"/>
      <c r="T58" s="201"/>
      <c r="U58" s="201"/>
      <c r="V58" s="201"/>
      <c r="W58" s="201"/>
      <c r="X58" s="201"/>
      <c r="Y58" s="201"/>
      <c r="Z58" s="201"/>
      <c r="AA58" s="201"/>
      <c r="AB58" s="201"/>
      <c r="AC58" s="201"/>
      <c r="AD58" s="201"/>
      <c r="AE58" s="201"/>
      <c r="AF58" s="201"/>
      <c r="AG58" s="201"/>
      <c r="AH58" s="201"/>
    </row>
    <row r="59" spans="1:34" s="361" customFormat="1" ht="16.5" customHeight="1" x14ac:dyDescent="0.25">
      <c r="A59" s="351" t="s">
        <v>937</v>
      </c>
      <c r="B59" s="352" t="s">
        <v>946</v>
      </c>
      <c r="C59" s="353">
        <v>4845293000</v>
      </c>
      <c r="D59" s="354">
        <v>4722788000</v>
      </c>
      <c r="E59" s="355">
        <v>4467587035</v>
      </c>
      <c r="F59" s="356">
        <v>3453466846</v>
      </c>
      <c r="G59" s="356">
        <v>3453466846</v>
      </c>
      <c r="H59" s="357">
        <f t="shared" si="3"/>
        <v>0.77300493956689087</v>
      </c>
      <c r="I59" s="358"/>
      <c r="J59" s="359"/>
      <c r="K59" s="358"/>
      <c r="L59" s="358"/>
      <c r="M59" s="358"/>
      <c r="N59" s="360"/>
      <c r="O59" s="358"/>
      <c r="P59" s="358"/>
      <c r="Q59" s="358"/>
      <c r="R59" s="358"/>
      <c r="S59" s="358"/>
      <c r="T59" s="358"/>
      <c r="U59" s="358"/>
      <c r="V59" s="358"/>
      <c r="W59" s="358"/>
      <c r="X59" s="358"/>
      <c r="Y59" s="358"/>
      <c r="Z59" s="358"/>
      <c r="AA59" s="358"/>
      <c r="AB59" s="358"/>
      <c r="AC59" s="358"/>
      <c r="AD59" s="358"/>
      <c r="AE59" s="358"/>
      <c r="AF59" s="358"/>
      <c r="AG59" s="358"/>
      <c r="AH59" s="358"/>
    </row>
    <row r="60" spans="1:34" ht="16.5" customHeight="1" x14ac:dyDescent="0.25">
      <c r="B60" s="161"/>
      <c r="C60" s="162"/>
      <c r="D60" s="162"/>
      <c r="J60" s="125"/>
      <c r="N60" s="162"/>
    </row>
    <row r="61" spans="1:34" ht="23.25" hidden="1" customHeight="1" x14ac:dyDescent="0.25">
      <c r="A61" s="946" t="s">
        <v>948</v>
      </c>
      <c r="B61" s="679"/>
      <c r="C61" s="679"/>
      <c r="D61" s="679"/>
      <c r="E61" s="679"/>
      <c r="F61" s="679"/>
      <c r="G61" s="679"/>
      <c r="H61" s="721"/>
      <c r="J61" s="125"/>
      <c r="N61" s="162"/>
    </row>
    <row r="62" spans="1:34" ht="25.5" hidden="1" customHeight="1" x14ac:dyDescent="0.25">
      <c r="A62" s="163" t="s">
        <v>28</v>
      </c>
      <c r="B62" s="164" t="s">
        <v>924</v>
      </c>
      <c r="C62" s="164" t="s">
        <v>925</v>
      </c>
      <c r="D62" s="164" t="s">
        <v>926</v>
      </c>
      <c r="E62" s="164" t="s">
        <v>927</v>
      </c>
      <c r="F62" s="164" t="s">
        <v>928</v>
      </c>
      <c r="G62" s="164" t="s">
        <v>929</v>
      </c>
      <c r="H62" s="165" t="s">
        <v>930</v>
      </c>
      <c r="J62" s="125"/>
      <c r="N62" s="162"/>
    </row>
    <row r="63" spans="1:34" ht="16.5" hidden="1" customHeight="1" x14ac:dyDescent="0.25">
      <c r="A63" s="175" t="s">
        <v>939</v>
      </c>
      <c r="B63" s="167"/>
      <c r="C63" s="168"/>
      <c r="D63" s="168"/>
      <c r="E63" s="158"/>
      <c r="F63" s="158"/>
      <c r="G63" s="158"/>
      <c r="H63" s="169" t="e">
        <f t="shared" ref="H63:H74" si="4">G63/E63</f>
        <v>#DIV/0!</v>
      </c>
      <c r="J63" s="125"/>
      <c r="N63" s="162"/>
    </row>
    <row r="64" spans="1:34" ht="16.5" hidden="1" customHeight="1" x14ac:dyDescent="0.25">
      <c r="A64" s="175" t="s">
        <v>940</v>
      </c>
      <c r="B64" s="167"/>
      <c r="C64" s="168"/>
      <c r="D64" s="168"/>
      <c r="E64" s="158"/>
      <c r="F64" s="158"/>
      <c r="G64" s="158"/>
      <c r="H64" s="169" t="e">
        <f t="shared" si="4"/>
        <v>#DIV/0!</v>
      </c>
      <c r="J64" s="125"/>
      <c r="N64" s="162"/>
    </row>
    <row r="65" spans="1:14" ht="16.5" hidden="1" customHeight="1" x14ac:dyDescent="0.25">
      <c r="A65" s="175" t="s">
        <v>941</v>
      </c>
      <c r="B65" s="167"/>
      <c r="C65" s="168"/>
      <c r="D65" s="168"/>
      <c r="E65" s="158"/>
      <c r="F65" s="158"/>
      <c r="G65" s="158"/>
      <c r="H65" s="169" t="e">
        <f t="shared" si="4"/>
        <v>#DIV/0!</v>
      </c>
      <c r="J65" s="125"/>
      <c r="N65" s="162"/>
    </row>
    <row r="66" spans="1:14" ht="16.5" hidden="1" customHeight="1" x14ac:dyDescent="0.25">
      <c r="A66" s="175" t="s">
        <v>942</v>
      </c>
      <c r="B66" s="167"/>
      <c r="C66" s="168"/>
      <c r="D66" s="168"/>
      <c r="E66" s="158"/>
      <c r="F66" s="158"/>
      <c r="G66" s="158"/>
      <c r="H66" s="169" t="e">
        <f t="shared" si="4"/>
        <v>#DIV/0!</v>
      </c>
      <c r="J66" s="125"/>
      <c r="N66" s="162"/>
    </row>
    <row r="67" spans="1:14" ht="16.5" hidden="1" customHeight="1" x14ac:dyDescent="0.25">
      <c r="A67" s="175" t="s">
        <v>943</v>
      </c>
      <c r="B67" s="167"/>
      <c r="C67" s="168"/>
      <c r="D67" s="168"/>
      <c r="E67" s="158"/>
      <c r="F67" s="158"/>
      <c r="G67" s="158"/>
      <c r="H67" s="169" t="e">
        <f t="shared" si="4"/>
        <v>#DIV/0!</v>
      </c>
      <c r="J67" s="125"/>
      <c r="N67" s="162"/>
    </row>
    <row r="68" spans="1:14" ht="16.5" hidden="1" customHeight="1" x14ac:dyDescent="0.25">
      <c r="A68" s="175" t="s">
        <v>944</v>
      </c>
      <c r="B68" s="167"/>
      <c r="C68" s="168"/>
      <c r="D68" s="168"/>
      <c r="E68" s="158"/>
      <c r="F68" s="158"/>
      <c r="G68" s="158"/>
      <c r="H68" s="169" t="e">
        <f t="shared" si="4"/>
        <v>#DIV/0!</v>
      </c>
      <c r="J68" s="125"/>
      <c r="N68" s="162"/>
    </row>
    <row r="69" spans="1:14" ht="16.5" hidden="1" customHeight="1" x14ac:dyDescent="0.25">
      <c r="A69" s="175" t="s">
        <v>931</v>
      </c>
      <c r="B69" s="167"/>
      <c r="C69" s="168"/>
      <c r="D69" s="168"/>
      <c r="E69" s="158"/>
      <c r="F69" s="158"/>
      <c r="G69" s="158"/>
      <c r="H69" s="169" t="e">
        <f t="shared" si="4"/>
        <v>#DIV/0!</v>
      </c>
      <c r="J69" s="125"/>
      <c r="N69" s="162"/>
    </row>
    <row r="70" spans="1:14" ht="16.5" hidden="1" customHeight="1" x14ac:dyDescent="0.25">
      <c r="A70" s="175" t="s">
        <v>932</v>
      </c>
      <c r="B70" s="167"/>
      <c r="C70" s="168"/>
      <c r="D70" s="168"/>
      <c r="E70" s="158"/>
      <c r="F70" s="158"/>
      <c r="G70" s="158"/>
      <c r="H70" s="169" t="e">
        <f t="shared" si="4"/>
        <v>#DIV/0!</v>
      </c>
      <c r="J70" s="125"/>
      <c r="N70" s="162"/>
    </row>
    <row r="71" spans="1:14" ht="16.5" hidden="1" customHeight="1" x14ac:dyDescent="0.25">
      <c r="A71" s="175" t="s">
        <v>933</v>
      </c>
      <c r="B71" s="167"/>
      <c r="C71" s="168"/>
      <c r="D71" s="168"/>
      <c r="E71" s="158"/>
      <c r="F71" s="158"/>
      <c r="G71" s="158"/>
      <c r="H71" s="169" t="e">
        <f t="shared" si="4"/>
        <v>#DIV/0!</v>
      </c>
      <c r="J71" s="125"/>
      <c r="N71" s="162"/>
    </row>
    <row r="72" spans="1:14" ht="16.5" hidden="1" customHeight="1" x14ac:dyDescent="0.25">
      <c r="A72" s="175" t="s">
        <v>934</v>
      </c>
      <c r="B72" s="167"/>
      <c r="C72" s="168"/>
      <c r="D72" s="168"/>
      <c r="E72" s="158"/>
      <c r="F72" s="158"/>
      <c r="G72" s="158"/>
      <c r="H72" s="169" t="e">
        <f t="shared" si="4"/>
        <v>#DIV/0!</v>
      </c>
      <c r="J72" s="125"/>
      <c r="N72" s="162"/>
    </row>
    <row r="73" spans="1:14" ht="16.5" hidden="1" customHeight="1" x14ac:dyDescent="0.25">
      <c r="A73" s="175" t="s">
        <v>936</v>
      </c>
      <c r="B73" s="167"/>
      <c r="C73" s="168"/>
      <c r="D73" s="168"/>
      <c r="E73" s="158"/>
      <c r="F73" s="158"/>
      <c r="G73" s="158"/>
      <c r="H73" s="169" t="e">
        <f t="shared" si="4"/>
        <v>#DIV/0!</v>
      </c>
      <c r="J73" s="125"/>
      <c r="N73" s="162"/>
    </row>
    <row r="74" spans="1:14" ht="16.5" hidden="1" customHeight="1" x14ac:dyDescent="0.25">
      <c r="A74" s="179" t="s">
        <v>937</v>
      </c>
      <c r="B74" s="204"/>
      <c r="C74" s="205"/>
      <c r="D74" s="205"/>
      <c r="E74" s="206"/>
      <c r="F74" s="206"/>
      <c r="G74" s="206"/>
      <c r="H74" s="169" t="e">
        <f t="shared" si="4"/>
        <v>#DIV/0!</v>
      </c>
      <c r="J74" s="125"/>
      <c r="N74" s="162"/>
    </row>
    <row r="75" spans="1:14" ht="16.5" customHeight="1" x14ac:dyDescent="0.25">
      <c r="B75" s="161"/>
      <c r="C75" s="162"/>
      <c r="D75" s="162"/>
      <c r="J75" s="125"/>
      <c r="N75" s="162"/>
    </row>
    <row r="76" spans="1:14" ht="23.25" customHeight="1" x14ac:dyDescent="0.25">
      <c r="A76" s="946" t="s">
        <v>949</v>
      </c>
      <c r="B76" s="679"/>
      <c r="C76" s="679"/>
      <c r="D76" s="679"/>
      <c r="E76" s="679"/>
      <c r="F76" s="679"/>
      <c r="G76" s="679"/>
      <c r="H76" s="679"/>
      <c r="I76" s="679"/>
      <c r="J76" s="679"/>
      <c r="K76" s="679"/>
      <c r="L76" s="679"/>
      <c r="M76" s="679"/>
      <c r="N76" s="721"/>
    </row>
    <row r="77" spans="1:14" ht="44.25" customHeight="1" x14ac:dyDescent="0.25">
      <c r="A77" s="163" t="s">
        <v>24</v>
      </c>
      <c r="B77" s="164" t="s">
        <v>950</v>
      </c>
      <c r="C77" s="164" t="s">
        <v>951</v>
      </c>
      <c r="D77" s="164" t="s">
        <v>952</v>
      </c>
      <c r="E77" s="164" t="s">
        <v>953</v>
      </c>
      <c r="F77" s="164" t="s">
        <v>954</v>
      </c>
      <c r="G77" s="164" t="s">
        <v>955</v>
      </c>
      <c r="H77" s="164" t="s">
        <v>956</v>
      </c>
      <c r="I77" s="164" t="s">
        <v>957</v>
      </c>
      <c r="J77" s="207" t="s">
        <v>958</v>
      </c>
      <c r="K77" s="164" t="s">
        <v>959</v>
      </c>
      <c r="L77" s="164" t="s">
        <v>960</v>
      </c>
      <c r="M77" s="164" t="s">
        <v>961</v>
      </c>
      <c r="N77" s="165" t="s">
        <v>962</v>
      </c>
    </row>
    <row r="78" spans="1:14" ht="15.75" customHeight="1" x14ac:dyDescent="0.25">
      <c r="A78" s="166" t="s">
        <v>931</v>
      </c>
      <c r="B78" s="167"/>
      <c r="C78" s="168"/>
      <c r="D78" s="168"/>
      <c r="E78" s="158"/>
      <c r="F78" s="158"/>
      <c r="G78" s="158"/>
      <c r="H78" s="158"/>
      <c r="I78" s="158"/>
      <c r="J78" s="208" t="e">
        <f t="shared" ref="J78:J92" si="5">I78/H78</f>
        <v>#DIV/0!</v>
      </c>
      <c r="K78" s="158"/>
      <c r="L78" s="158"/>
      <c r="M78" s="158" t="e">
        <f t="shared" ref="M78:M92" si="6">L78/K78</f>
        <v>#DIV/0!</v>
      </c>
      <c r="N78" s="209"/>
    </row>
    <row r="79" spans="1:14" ht="15.75" customHeight="1" x14ac:dyDescent="0.25">
      <c r="A79" s="166" t="s">
        <v>932</v>
      </c>
      <c r="B79" s="167"/>
      <c r="C79" s="168"/>
      <c r="D79" s="168"/>
      <c r="E79" s="158"/>
      <c r="F79" s="158"/>
      <c r="G79" s="158"/>
      <c r="H79" s="158"/>
      <c r="I79" s="158"/>
      <c r="J79" s="208" t="e">
        <f t="shared" si="5"/>
        <v>#DIV/0!</v>
      </c>
      <c r="K79" s="158"/>
      <c r="L79" s="158"/>
      <c r="M79" s="158" t="e">
        <f t="shared" si="6"/>
        <v>#DIV/0!</v>
      </c>
      <c r="N79" s="209"/>
    </row>
    <row r="80" spans="1:14" ht="15.75" customHeight="1" x14ac:dyDescent="0.25">
      <c r="A80" s="210" t="s">
        <v>933</v>
      </c>
      <c r="B80" s="211"/>
      <c r="C80" s="212"/>
      <c r="D80" s="212"/>
      <c r="E80" s="213"/>
      <c r="F80" s="213"/>
      <c r="G80" s="213"/>
      <c r="H80" s="213"/>
      <c r="I80" s="213"/>
      <c r="J80" s="214" t="e">
        <f t="shared" si="5"/>
        <v>#DIV/0!</v>
      </c>
      <c r="K80" s="213"/>
      <c r="L80" s="213"/>
      <c r="M80" s="213" t="e">
        <f t="shared" si="6"/>
        <v>#DIV/0!</v>
      </c>
      <c r="N80" s="215"/>
    </row>
    <row r="81" spans="1:34" ht="143.25" customHeight="1" x14ac:dyDescent="0.25">
      <c r="A81" s="947" t="s">
        <v>934</v>
      </c>
      <c r="B81" s="216" t="s">
        <v>963</v>
      </c>
      <c r="C81" s="217" t="s">
        <v>964</v>
      </c>
      <c r="D81" s="217" t="s">
        <v>965</v>
      </c>
      <c r="E81" s="218" t="s">
        <v>176</v>
      </c>
      <c r="F81" s="218">
        <v>25</v>
      </c>
      <c r="G81" s="218">
        <v>1000</v>
      </c>
      <c r="H81" s="218">
        <v>86</v>
      </c>
      <c r="I81" s="218">
        <v>50</v>
      </c>
      <c r="J81" s="219">
        <f t="shared" si="5"/>
        <v>0.58139534883720934</v>
      </c>
      <c r="K81" s="218">
        <v>0</v>
      </c>
      <c r="L81" s="218">
        <v>0</v>
      </c>
      <c r="M81" s="218" t="e">
        <f t="shared" si="6"/>
        <v>#DIV/0!</v>
      </c>
      <c r="N81" s="220" t="s">
        <v>966</v>
      </c>
      <c r="O81" s="221"/>
      <c r="P81" s="221"/>
      <c r="Q81" s="221"/>
      <c r="R81" s="221"/>
      <c r="S81" s="221"/>
      <c r="T81" s="221"/>
      <c r="U81" s="221"/>
      <c r="V81" s="221"/>
      <c r="W81" s="221"/>
      <c r="X81" s="221"/>
      <c r="Y81" s="221"/>
      <c r="Z81" s="221"/>
      <c r="AA81" s="221"/>
      <c r="AB81" s="221"/>
      <c r="AC81" s="221"/>
      <c r="AD81" s="221"/>
      <c r="AE81" s="221"/>
      <c r="AF81" s="221"/>
      <c r="AG81" s="221"/>
      <c r="AH81" s="221"/>
    </row>
    <row r="82" spans="1:34" ht="143.25" customHeight="1" x14ac:dyDescent="0.25">
      <c r="A82" s="948"/>
      <c r="B82" s="30" t="s">
        <v>967</v>
      </c>
      <c r="C82" s="222" t="s">
        <v>968</v>
      </c>
      <c r="D82" s="222" t="s">
        <v>969</v>
      </c>
      <c r="E82" s="223" t="s">
        <v>176</v>
      </c>
      <c r="F82" s="223">
        <v>25</v>
      </c>
      <c r="G82" s="223">
        <v>100</v>
      </c>
      <c r="H82" s="223">
        <v>10</v>
      </c>
      <c r="I82" s="223">
        <v>8</v>
      </c>
      <c r="J82" s="224">
        <f t="shared" si="5"/>
        <v>0.8</v>
      </c>
      <c r="K82" s="223">
        <v>0</v>
      </c>
      <c r="L82" s="223">
        <v>0</v>
      </c>
      <c r="M82" s="223" t="e">
        <f t="shared" si="6"/>
        <v>#DIV/0!</v>
      </c>
      <c r="N82" s="225" t="s">
        <v>970</v>
      </c>
      <c r="O82" s="221"/>
      <c r="P82" s="221"/>
      <c r="Q82" s="221"/>
      <c r="R82" s="221"/>
      <c r="S82" s="221"/>
      <c r="T82" s="221"/>
      <c r="U82" s="221"/>
      <c r="V82" s="221"/>
      <c r="W82" s="221"/>
      <c r="X82" s="221"/>
      <c r="Y82" s="221"/>
      <c r="Z82" s="221"/>
      <c r="AA82" s="221"/>
      <c r="AB82" s="221"/>
      <c r="AC82" s="221"/>
      <c r="AD82" s="221"/>
      <c r="AE82" s="221"/>
      <c r="AF82" s="221"/>
      <c r="AG82" s="221"/>
      <c r="AH82" s="221"/>
    </row>
    <row r="83" spans="1:34" ht="143.25" customHeight="1" x14ac:dyDescent="0.25">
      <c r="A83" s="948"/>
      <c r="B83" s="30" t="s">
        <v>971</v>
      </c>
      <c r="C83" s="222" t="s">
        <v>972</v>
      </c>
      <c r="D83" s="222" t="s">
        <v>973</v>
      </c>
      <c r="E83" s="223" t="s">
        <v>176</v>
      </c>
      <c r="F83" s="223">
        <v>25</v>
      </c>
      <c r="G83" s="223">
        <v>9</v>
      </c>
      <c r="H83" s="223">
        <v>0.5</v>
      </c>
      <c r="I83" s="223">
        <v>0.17</v>
      </c>
      <c r="J83" s="224">
        <f t="shared" si="5"/>
        <v>0.34</v>
      </c>
      <c r="K83" s="223">
        <v>0</v>
      </c>
      <c r="L83" s="223">
        <v>0</v>
      </c>
      <c r="M83" s="223" t="e">
        <f t="shared" si="6"/>
        <v>#DIV/0!</v>
      </c>
      <c r="N83" s="225" t="s">
        <v>974</v>
      </c>
      <c r="O83" s="221"/>
      <c r="P83" s="221"/>
      <c r="Q83" s="221"/>
      <c r="R83" s="221"/>
      <c r="S83" s="221"/>
      <c r="T83" s="221"/>
      <c r="U83" s="221"/>
      <c r="V83" s="221"/>
      <c r="W83" s="221"/>
      <c r="X83" s="221"/>
      <c r="Y83" s="221"/>
      <c r="Z83" s="221"/>
      <c r="AA83" s="221"/>
      <c r="AB83" s="221"/>
      <c r="AC83" s="221"/>
      <c r="AD83" s="221"/>
      <c r="AE83" s="221"/>
      <c r="AF83" s="221"/>
      <c r="AG83" s="221"/>
      <c r="AH83" s="221"/>
    </row>
    <row r="84" spans="1:34" ht="143.25" customHeight="1" x14ac:dyDescent="0.25">
      <c r="A84" s="949"/>
      <c r="B84" s="226" t="s">
        <v>975</v>
      </c>
      <c r="C84" s="227" t="s">
        <v>976</v>
      </c>
      <c r="D84" s="227" t="s">
        <v>977</v>
      </c>
      <c r="E84" s="228" t="s">
        <v>176</v>
      </c>
      <c r="F84" s="228">
        <v>25</v>
      </c>
      <c r="G84" s="228">
        <v>1</v>
      </c>
      <c r="H84" s="228">
        <v>0.5</v>
      </c>
      <c r="I84" s="228">
        <v>0.33</v>
      </c>
      <c r="J84" s="229">
        <f t="shared" si="5"/>
        <v>0.66</v>
      </c>
      <c r="K84" s="228">
        <v>0</v>
      </c>
      <c r="L84" s="228">
        <v>0</v>
      </c>
      <c r="M84" s="228" t="e">
        <f t="shared" si="6"/>
        <v>#DIV/0!</v>
      </c>
      <c r="N84" s="230" t="s">
        <v>978</v>
      </c>
      <c r="O84" s="221"/>
      <c r="P84" s="221"/>
      <c r="Q84" s="221"/>
      <c r="R84" s="221"/>
      <c r="S84" s="221"/>
      <c r="T84" s="221"/>
      <c r="U84" s="221"/>
      <c r="V84" s="221"/>
      <c r="W84" s="221"/>
      <c r="X84" s="221"/>
      <c r="Y84" s="221"/>
      <c r="Z84" s="221"/>
      <c r="AA84" s="221"/>
      <c r="AB84" s="221"/>
      <c r="AC84" s="221"/>
      <c r="AD84" s="221"/>
      <c r="AE84" s="221"/>
      <c r="AF84" s="221"/>
      <c r="AG84" s="221"/>
      <c r="AH84" s="221"/>
    </row>
    <row r="85" spans="1:34" ht="90" customHeight="1" x14ac:dyDescent="0.25">
      <c r="A85" s="947" t="s">
        <v>936</v>
      </c>
      <c r="B85" s="216" t="s">
        <v>963</v>
      </c>
      <c r="C85" s="217" t="s">
        <v>964</v>
      </c>
      <c r="D85" s="217" t="s">
        <v>965</v>
      </c>
      <c r="E85" s="218" t="s">
        <v>176</v>
      </c>
      <c r="F85" s="218">
        <v>25</v>
      </c>
      <c r="G85" s="218">
        <v>1000</v>
      </c>
      <c r="H85" s="218">
        <v>86</v>
      </c>
      <c r="I85" s="231">
        <v>67</v>
      </c>
      <c r="J85" s="232">
        <f t="shared" si="5"/>
        <v>0.77906976744186052</v>
      </c>
      <c r="K85" s="231">
        <v>0</v>
      </c>
      <c r="L85" s="231">
        <v>0</v>
      </c>
      <c r="M85" s="231" t="e">
        <f t="shared" si="6"/>
        <v>#DIV/0!</v>
      </c>
      <c r="N85" s="233" t="s">
        <v>979</v>
      </c>
    </row>
    <row r="86" spans="1:34" ht="15.75" customHeight="1" x14ac:dyDescent="0.25">
      <c r="A86" s="948"/>
      <c r="B86" s="30" t="s">
        <v>967</v>
      </c>
      <c r="C86" s="222" t="s">
        <v>968</v>
      </c>
      <c r="D86" s="222" t="s">
        <v>969</v>
      </c>
      <c r="E86" s="223" t="s">
        <v>176</v>
      </c>
      <c r="F86" s="223">
        <v>25</v>
      </c>
      <c r="G86" s="223">
        <v>100</v>
      </c>
      <c r="H86" s="223">
        <v>10</v>
      </c>
      <c r="I86" s="234">
        <v>9</v>
      </c>
      <c r="J86" s="235">
        <f t="shared" si="5"/>
        <v>0.9</v>
      </c>
      <c r="K86" s="234">
        <v>0</v>
      </c>
      <c r="L86" s="234">
        <v>0</v>
      </c>
      <c r="M86" s="234" t="e">
        <f t="shared" si="6"/>
        <v>#DIV/0!</v>
      </c>
      <c r="N86" s="236" t="s">
        <v>980</v>
      </c>
    </row>
    <row r="87" spans="1:34" ht="15.75" customHeight="1" x14ac:dyDescent="0.25">
      <c r="A87" s="948"/>
      <c r="B87" s="30" t="s">
        <v>971</v>
      </c>
      <c r="C87" s="222" t="s">
        <v>972</v>
      </c>
      <c r="D87" s="222" t="s">
        <v>973</v>
      </c>
      <c r="E87" s="223" t="s">
        <v>176</v>
      </c>
      <c r="F87" s="223">
        <v>25</v>
      </c>
      <c r="G87" s="223">
        <v>9</v>
      </c>
      <c r="H87" s="223">
        <v>0.5</v>
      </c>
      <c r="I87" s="234">
        <v>0.34</v>
      </c>
      <c r="J87" s="235">
        <f t="shared" si="5"/>
        <v>0.68</v>
      </c>
      <c r="K87" s="234">
        <v>0</v>
      </c>
      <c r="L87" s="234">
        <v>0</v>
      </c>
      <c r="M87" s="234" t="e">
        <f t="shared" si="6"/>
        <v>#DIV/0!</v>
      </c>
      <c r="N87" s="236" t="s">
        <v>981</v>
      </c>
    </row>
    <row r="88" spans="1:34" ht="15.75" customHeight="1" x14ac:dyDescent="0.25">
      <c r="A88" s="949"/>
      <c r="B88" s="226" t="s">
        <v>975</v>
      </c>
      <c r="C88" s="227" t="s">
        <v>976</v>
      </c>
      <c r="D88" s="227" t="s">
        <v>977</v>
      </c>
      <c r="E88" s="228" t="s">
        <v>176</v>
      </c>
      <c r="F88" s="228">
        <v>25</v>
      </c>
      <c r="G88" s="228">
        <v>1</v>
      </c>
      <c r="H88" s="228">
        <v>0.5</v>
      </c>
      <c r="I88" s="237">
        <v>0.42</v>
      </c>
      <c r="J88" s="238">
        <f t="shared" si="5"/>
        <v>0.84</v>
      </c>
      <c r="K88" s="237">
        <v>0</v>
      </c>
      <c r="L88" s="237">
        <v>0</v>
      </c>
      <c r="M88" s="237" t="e">
        <f t="shared" si="6"/>
        <v>#DIV/0!</v>
      </c>
      <c r="N88" s="239" t="s">
        <v>982</v>
      </c>
    </row>
    <row r="89" spans="1:34" ht="15.75" customHeight="1" x14ac:dyDescent="0.25">
      <c r="A89" s="950" t="s">
        <v>937</v>
      </c>
      <c r="B89" s="216" t="s">
        <v>963</v>
      </c>
      <c r="C89" s="217" t="s">
        <v>964</v>
      </c>
      <c r="D89" s="217" t="s">
        <v>965</v>
      </c>
      <c r="E89" s="218" t="s">
        <v>176</v>
      </c>
      <c r="F89" s="218">
        <v>25</v>
      </c>
      <c r="G89" s="218">
        <v>1000</v>
      </c>
      <c r="H89" s="218">
        <v>86</v>
      </c>
      <c r="I89" s="231">
        <v>86</v>
      </c>
      <c r="J89" s="232">
        <f t="shared" si="5"/>
        <v>1</v>
      </c>
      <c r="K89" s="231">
        <v>0</v>
      </c>
      <c r="L89" s="231">
        <v>0</v>
      </c>
      <c r="M89" s="231" t="e">
        <f t="shared" si="6"/>
        <v>#DIV/0!</v>
      </c>
      <c r="N89" s="233" t="s">
        <v>983</v>
      </c>
    </row>
    <row r="90" spans="1:34" ht="15.75" customHeight="1" x14ac:dyDescent="0.25">
      <c r="A90" s="951"/>
      <c r="B90" s="30" t="s">
        <v>967</v>
      </c>
      <c r="C90" s="222" t="s">
        <v>968</v>
      </c>
      <c r="D90" s="222" t="s">
        <v>969</v>
      </c>
      <c r="E90" s="223" t="s">
        <v>176</v>
      </c>
      <c r="F90" s="223">
        <v>25</v>
      </c>
      <c r="G90" s="223">
        <v>100</v>
      </c>
      <c r="H90" s="223">
        <v>10</v>
      </c>
      <c r="I90" s="234">
        <v>10</v>
      </c>
      <c r="J90" s="235">
        <f t="shared" si="5"/>
        <v>1</v>
      </c>
      <c r="K90" s="234">
        <v>0</v>
      </c>
      <c r="L90" s="234">
        <v>0</v>
      </c>
      <c r="M90" s="234" t="e">
        <f t="shared" si="6"/>
        <v>#DIV/0!</v>
      </c>
      <c r="N90" s="236" t="s">
        <v>984</v>
      </c>
    </row>
    <row r="91" spans="1:34" ht="15.75" customHeight="1" x14ac:dyDescent="0.25">
      <c r="A91" s="951"/>
      <c r="B91" s="30" t="s">
        <v>971</v>
      </c>
      <c r="C91" s="222" t="s">
        <v>972</v>
      </c>
      <c r="D91" s="222" t="s">
        <v>973</v>
      </c>
      <c r="E91" s="223" t="s">
        <v>176</v>
      </c>
      <c r="F91" s="223">
        <v>25</v>
      </c>
      <c r="G91" s="223">
        <v>9</v>
      </c>
      <c r="H91" s="223">
        <v>0.5</v>
      </c>
      <c r="I91" s="234">
        <v>0.5</v>
      </c>
      <c r="J91" s="235">
        <f t="shared" si="5"/>
        <v>1</v>
      </c>
      <c r="K91" s="234">
        <v>0</v>
      </c>
      <c r="L91" s="234">
        <v>0</v>
      </c>
      <c r="M91" s="234" t="e">
        <f t="shared" si="6"/>
        <v>#DIV/0!</v>
      </c>
      <c r="N91" s="236" t="s">
        <v>985</v>
      </c>
    </row>
    <row r="92" spans="1:34" ht="15.75" customHeight="1" x14ac:dyDescent="0.25">
      <c r="A92" s="951"/>
      <c r="B92" s="226" t="s">
        <v>975</v>
      </c>
      <c r="C92" s="227" t="s">
        <v>976</v>
      </c>
      <c r="D92" s="227" t="s">
        <v>977</v>
      </c>
      <c r="E92" s="228" t="s">
        <v>176</v>
      </c>
      <c r="F92" s="228">
        <v>25</v>
      </c>
      <c r="G92" s="228">
        <v>1</v>
      </c>
      <c r="H92" s="228">
        <v>0.5</v>
      </c>
      <c r="I92" s="237">
        <v>0.5</v>
      </c>
      <c r="J92" s="238">
        <f t="shared" si="5"/>
        <v>1</v>
      </c>
      <c r="K92" s="237">
        <v>0</v>
      </c>
      <c r="L92" s="237">
        <v>0</v>
      </c>
      <c r="M92" s="237" t="e">
        <f t="shared" si="6"/>
        <v>#DIV/0!</v>
      </c>
      <c r="N92" s="239" t="s">
        <v>986</v>
      </c>
    </row>
    <row r="93" spans="1:34" ht="15.75" customHeight="1" x14ac:dyDescent="0.25">
      <c r="A93" s="240"/>
      <c r="B93" s="161"/>
      <c r="C93" s="162"/>
      <c r="D93" s="162"/>
      <c r="I93" s="1"/>
      <c r="J93" s="193"/>
      <c r="K93" s="1"/>
      <c r="L93" s="1"/>
      <c r="M93" s="1"/>
      <c r="N93" s="194"/>
    </row>
    <row r="94" spans="1:34" ht="15.75" customHeight="1" x14ac:dyDescent="0.25">
      <c r="A94" s="240"/>
      <c r="B94" s="161"/>
      <c r="C94" s="162"/>
      <c r="D94" s="162"/>
      <c r="I94" s="1"/>
      <c r="J94" s="193"/>
      <c r="K94" s="1"/>
      <c r="L94" s="1"/>
      <c r="M94" s="1"/>
      <c r="N94" s="194"/>
    </row>
    <row r="95" spans="1:34" ht="15.75" customHeight="1" x14ac:dyDescent="0.25">
      <c r="B95" s="161"/>
      <c r="C95" s="162"/>
      <c r="D95" s="162"/>
      <c r="J95" s="125"/>
      <c r="N95" s="162"/>
    </row>
    <row r="96" spans="1:34" ht="15.75" customHeight="1" x14ac:dyDescent="0.25">
      <c r="A96" s="946" t="s">
        <v>987</v>
      </c>
      <c r="B96" s="679"/>
      <c r="C96" s="679"/>
      <c r="D96" s="679"/>
      <c r="E96" s="679"/>
      <c r="F96" s="679"/>
      <c r="G96" s="679"/>
      <c r="H96" s="679"/>
      <c r="I96" s="679"/>
      <c r="J96" s="679"/>
      <c r="K96" s="679"/>
      <c r="L96" s="679"/>
      <c r="M96" s="679"/>
      <c r="N96" s="721"/>
    </row>
    <row r="97" spans="1:14" ht="44.25" customHeight="1" x14ac:dyDescent="0.25">
      <c r="A97" s="163" t="s">
        <v>25</v>
      </c>
      <c r="B97" s="164" t="s">
        <v>950</v>
      </c>
      <c r="C97" s="164" t="s">
        <v>951</v>
      </c>
      <c r="D97" s="164" t="s">
        <v>952</v>
      </c>
      <c r="E97" s="164" t="s">
        <v>953</v>
      </c>
      <c r="F97" s="164" t="s">
        <v>988</v>
      </c>
      <c r="G97" s="164" t="s">
        <v>955</v>
      </c>
      <c r="H97" s="164" t="s">
        <v>989</v>
      </c>
      <c r="I97" s="164" t="s">
        <v>990</v>
      </c>
      <c r="J97" s="207" t="s">
        <v>991</v>
      </c>
      <c r="K97" s="164" t="s">
        <v>959</v>
      </c>
      <c r="L97" s="164" t="s">
        <v>960</v>
      </c>
      <c r="M97" s="164" t="s">
        <v>961</v>
      </c>
      <c r="N97" s="165" t="s">
        <v>962</v>
      </c>
    </row>
    <row r="98" spans="1:14" ht="75.75" customHeight="1" x14ac:dyDescent="0.25">
      <c r="A98" s="952" t="s">
        <v>939</v>
      </c>
      <c r="B98" s="216" t="s">
        <v>963</v>
      </c>
      <c r="C98" s="217" t="s">
        <v>964</v>
      </c>
      <c r="D98" s="217" t="s">
        <v>965</v>
      </c>
      <c r="E98" s="218" t="s">
        <v>176</v>
      </c>
      <c r="F98" s="218">
        <v>25</v>
      </c>
      <c r="G98" s="218">
        <v>1000</v>
      </c>
      <c r="H98" s="158">
        <v>186</v>
      </c>
      <c r="I98" s="158">
        <v>10</v>
      </c>
      <c r="J98" s="208">
        <f t="shared" ref="J98:J145" si="7">I98/H98</f>
        <v>5.3763440860215055E-2</v>
      </c>
      <c r="K98" s="158">
        <v>0</v>
      </c>
      <c r="L98" s="158">
        <v>0</v>
      </c>
      <c r="M98" s="158" t="e">
        <f t="shared" ref="M98:M145" si="8">L98/K98</f>
        <v>#DIV/0!</v>
      </c>
      <c r="N98" s="209" t="s">
        <v>992</v>
      </c>
    </row>
    <row r="99" spans="1:14" ht="75.75" customHeight="1" x14ac:dyDescent="0.25">
      <c r="A99" s="948"/>
      <c r="B99" s="30" t="s">
        <v>967</v>
      </c>
      <c r="C99" s="222" t="s">
        <v>968</v>
      </c>
      <c r="D99" s="222" t="s">
        <v>969</v>
      </c>
      <c r="E99" s="223" t="s">
        <v>176</v>
      </c>
      <c r="F99" s="223">
        <v>25</v>
      </c>
      <c r="G99" s="223">
        <v>100</v>
      </c>
      <c r="H99" s="158">
        <v>20</v>
      </c>
      <c r="I99" s="158">
        <v>1</v>
      </c>
      <c r="J99" s="208">
        <f t="shared" si="7"/>
        <v>0.05</v>
      </c>
      <c r="K99" s="158">
        <v>0</v>
      </c>
      <c r="L99" s="158">
        <v>0</v>
      </c>
      <c r="M99" s="158" t="e">
        <f t="shared" si="8"/>
        <v>#DIV/0!</v>
      </c>
      <c r="N99" s="209" t="s">
        <v>993</v>
      </c>
    </row>
    <row r="100" spans="1:14" ht="75.75" customHeight="1" x14ac:dyDescent="0.25">
      <c r="A100" s="948"/>
      <c r="B100" s="30" t="s">
        <v>971</v>
      </c>
      <c r="C100" s="222" t="s">
        <v>972</v>
      </c>
      <c r="D100" s="222" t="s">
        <v>973</v>
      </c>
      <c r="E100" s="223" t="s">
        <v>176</v>
      </c>
      <c r="F100" s="223">
        <v>25</v>
      </c>
      <c r="G100" s="223">
        <v>9</v>
      </c>
      <c r="H100" s="158">
        <v>1.4</v>
      </c>
      <c r="I100" s="158">
        <v>0</v>
      </c>
      <c r="J100" s="208">
        <f t="shared" si="7"/>
        <v>0</v>
      </c>
      <c r="K100" s="158">
        <v>0</v>
      </c>
      <c r="L100" s="158">
        <v>0</v>
      </c>
      <c r="M100" s="158" t="e">
        <f t="shared" si="8"/>
        <v>#DIV/0!</v>
      </c>
      <c r="N100" s="241" t="s">
        <v>994</v>
      </c>
    </row>
    <row r="101" spans="1:14" ht="75.75" customHeight="1" x14ac:dyDescent="0.25">
      <c r="A101" s="953"/>
      <c r="B101" s="226" t="s">
        <v>975</v>
      </c>
      <c r="C101" s="227" t="s">
        <v>976</v>
      </c>
      <c r="D101" s="227" t="s">
        <v>977</v>
      </c>
      <c r="E101" s="228" t="s">
        <v>176</v>
      </c>
      <c r="F101" s="228">
        <v>25</v>
      </c>
      <c r="G101" s="228">
        <v>1</v>
      </c>
      <c r="H101" s="158">
        <v>0.1</v>
      </c>
      <c r="I101" s="158">
        <v>0.01</v>
      </c>
      <c r="J101" s="208">
        <f t="shared" si="7"/>
        <v>9.9999999999999992E-2</v>
      </c>
      <c r="K101" s="158">
        <v>0</v>
      </c>
      <c r="L101" s="158">
        <v>0</v>
      </c>
      <c r="M101" s="158" t="e">
        <f t="shared" si="8"/>
        <v>#DIV/0!</v>
      </c>
      <c r="N101" s="242" t="s">
        <v>995</v>
      </c>
    </row>
    <row r="102" spans="1:14" ht="63" customHeight="1" x14ac:dyDescent="0.25">
      <c r="A102" s="952" t="s">
        <v>940</v>
      </c>
      <c r="B102" s="216" t="s">
        <v>963</v>
      </c>
      <c r="C102" s="217" t="s">
        <v>964</v>
      </c>
      <c r="D102" s="217" t="s">
        <v>965</v>
      </c>
      <c r="E102" s="228" t="s">
        <v>176</v>
      </c>
      <c r="F102" s="218">
        <v>25</v>
      </c>
      <c r="G102" s="218">
        <v>1000</v>
      </c>
      <c r="H102" s="158">
        <v>186</v>
      </c>
      <c r="I102" s="158">
        <v>24</v>
      </c>
      <c r="J102" s="208">
        <f t="shared" si="7"/>
        <v>0.12903225806451613</v>
      </c>
      <c r="K102" s="158">
        <v>0</v>
      </c>
      <c r="L102" s="158">
        <v>0</v>
      </c>
      <c r="M102" s="158" t="e">
        <f t="shared" si="8"/>
        <v>#DIV/0!</v>
      </c>
      <c r="N102" s="243" t="s">
        <v>996</v>
      </c>
    </row>
    <row r="103" spans="1:14" ht="85.5" customHeight="1" x14ac:dyDescent="0.25">
      <c r="A103" s="948"/>
      <c r="B103" s="30" t="s">
        <v>967</v>
      </c>
      <c r="C103" s="222" t="s">
        <v>968</v>
      </c>
      <c r="D103" s="222" t="s">
        <v>969</v>
      </c>
      <c r="E103" s="228" t="s">
        <v>176</v>
      </c>
      <c r="F103" s="223">
        <v>25</v>
      </c>
      <c r="G103" s="223">
        <v>100</v>
      </c>
      <c r="H103" s="158">
        <v>20</v>
      </c>
      <c r="I103" s="158">
        <v>2</v>
      </c>
      <c r="J103" s="208">
        <f t="shared" si="7"/>
        <v>0.1</v>
      </c>
      <c r="K103" s="158">
        <v>0</v>
      </c>
      <c r="L103" s="158">
        <v>0</v>
      </c>
      <c r="M103" s="158" t="e">
        <f t="shared" si="8"/>
        <v>#DIV/0!</v>
      </c>
      <c r="N103" s="209" t="s">
        <v>997</v>
      </c>
    </row>
    <row r="104" spans="1:14" ht="15.75" customHeight="1" x14ac:dyDescent="0.25">
      <c r="A104" s="948"/>
      <c r="B104" s="30" t="s">
        <v>971</v>
      </c>
      <c r="C104" s="222" t="s">
        <v>972</v>
      </c>
      <c r="D104" s="222" t="s">
        <v>973</v>
      </c>
      <c r="E104" s="228" t="s">
        <v>176</v>
      </c>
      <c r="F104" s="223">
        <v>25</v>
      </c>
      <c r="G104" s="223">
        <v>9</v>
      </c>
      <c r="H104" s="158">
        <v>1.4</v>
      </c>
      <c r="I104" s="158">
        <v>0.126</v>
      </c>
      <c r="J104" s="208">
        <f t="shared" si="7"/>
        <v>9.0000000000000011E-2</v>
      </c>
      <c r="K104" s="158">
        <v>0</v>
      </c>
      <c r="L104" s="158">
        <v>0</v>
      </c>
      <c r="M104" s="158" t="e">
        <f t="shared" si="8"/>
        <v>#DIV/0!</v>
      </c>
      <c r="N104" s="209" t="s">
        <v>998</v>
      </c>
    </row>
    <row r="105" spans="1:14" ht="15.75" customHeight="1" x14ac:dyDescent="0.25">
      <c r="A105" s="953"/>
      <c r="B105" s="226" t="s">
        <v>999</v>
      </c>
      <c r="C105" s="227" t="s">
        <v>976</v>
      </c>
      <c r="D105" s="227" t="s">
        <v>977</v>
      </c>
      <c r="E105" s="228" t="s">
        <v>176</v>
      </c>
      <c r="F105" s="228">
        <v>25</v>
      </c>
      <c r="G105" s="228">
        <v>1</v>
      </c>
      <c r="H105" s="158">
        <v>0.1</v>
      </c>
      <c r="I105" s="158">
        <v>0.02</v>
      </c>
      <c r="J105" s="208">
        <f t="shared" si="7"/>
        <v>0.19999999999999998</v>
      </c>
      <c r="K105" s="158">
        <v>0</v>
      </c>
      <c r="L105" s="158">
        <v>0</v>
      </c>
      <c r="M105" s="158" t="e">
        <f t="shared" si="8"/>
        <v>#DIV/0!</v>
      </c>
      <c r="N105" s="209" t="s">
        <v>995</v>
      </c>
    </row>
    <row r="106" spans="1:14" ht="15.75" customHeight="1" x14ac:dyDescent="0.25">
      <c r="A106" s="952" t="s">
        <v>941</v>
      </c>
      <c r="B106" s="216" t="s">
        <v>963</v>
      </c>
      <c r="C106" s="217" t="s">
        <v>964</v>
      </c>
      <c r="D106" s="217" t="s">
        <v>965</v>
      </c>
      <c r="E106" s="228" t="s">
        <v>176</v>
      </c>
      <c r="F106" s="218">
        <v>25</v>
      </c>
      <c r="G106" s="218">
        <v>1000</v>
      </c>
      <c r="H106" s="158">
        <v>186</v>
      </c>
      <c r="I106" s="158">
        <v>41</v>
      </c>
      <c r="J106" s="208">
        <f t="shared" si="7"/>
        <v>0.22043010752688172</v>
      </c>
      <c r="K106" s="158">
        <v>0</v>
      </c>
      <c r="L106" s="158">
        <v>0</v>
      </c>
      <c r="M106" s="158" t="e">
        <f t="shared" si="8"/>
        <v>#DIV/0!</v>
      </c>
      <c r="N106" s="243" t="s">
        <v>1000</v>
      </c>
    </row>
    <row r="107" spans="1:14" ht="15.75" customHeight="1" x14ac:dyDescent="0.25">
      <c r="A107" s="948"/>
      <c r="B107" s="30" t="s">
        <v>967</v>
      </c>
      <c r="C107" s="222" t="s">
        <v>968</v>
      </c>
      <c r="D107" s="222" t="s">
        <v>969</v>
      </c>
      <c r="E107" s="228" t="s">
        <v>176</v>
      </c>
      <c r="F107" s="223">
        <v>25</v>
      </c>
      <c r="G107" s="223">
        <v>100</v>
      </c>
      <c r="H107" s="158">
        <v>20</v>
      </c>
      <c r="I107" s="158">
        <v>1</v>
      </c>
      <c r="J107" s="208">
        <f t="shared" si="7"/>
        <v>0.05</v>
      </c>
      <c r="K107" s="158">
        <v>0</v>
      </c>
      <c r="L107" s="158">
        <v>0</v>
      </c>
      <c r="M107" s="158" t="e">
        <f t="shared" si="8"/>
        <v>#DIV/0!</v>
      </c>
      <c r="N107" s="209" t="s">
        <v>1001</v>
      </c>
    </row>
    <row r="108" spans="1:14" ht="15.75" customHeight="1" x14ac:dyDescent="0.25">
      <c r="A108" s="948"/>
      <c r="B108" s="30" t="s">
        <v>971</v>
      </c>
      <c r="C108" s="222" t="s">
        <v>972</v>
      </c>
      <c r="D108" s="222" t="s">
        <v>973</v>
      </c>
      <c r="E108" s="228" t="s">
        <v>176</v>
      </c>
      <c r="F108" s="223">
        <v>25</v>
      </c>
      <c r="G108" s="223">
        <v>9</v>
      </c>
      <c r="H108" s="158">
        <v>1.4</v>
      </c>
      <c r="I108" s="157">
        <v>0.252</v>
      </c>
      <c r="J108" s="208">
        <f t="shared" si="7"/>
        <v>0.18000000000000002</v>
      </c>
      <c r="K108" s="158">
        <v>0</v>
      </c>
      <c r="L108" s="158">
        <v>0</v>
      </c>
      <c r="M108" s="158" t="e">
        <f t="shared" si="8"/>
        <v>#DIV/0!</v>
      </c>
      <c r="N108" s="244" t="s">
        <v>1002</v>
      </c>
    </row>
    <row r="109" spans="1:14" ht="15.75" customHeight="1" x14ac:dyDescent="0.25">
      <c r="A109" s="953"/>
      <c r="B109" s="226" t="s">
        <v>999</v>
      </c>
      <c r="C109" s="227" t="s">
        <v>976</v>
      </c>
      <c r="D109" s="227" t="s">
        <v>977</v>
      </c>
      <c r="E109" s="228" t="s">
        <v>176</v>
      </c>
      <c r="F109" s="228">
        <v>25</v>
      </c>
      <c r="G109" s="228">
        <v>1</v>
      </c>
      <c r="H109" s="158">
        <v>0.1</v>
      </c>
      <c r="I109" s="158">
        <v>2.8000000000000001E-2</v>
      </c>
      <c r="J109" s="208">
        <f t="shared" si="7"/>
        <v>0.27999999999999997</v>
      </c>
      <c r="K109" s="158">
        <v>0</v>
      </c>
      <c r="L109" s="158">
        <v>0</v>
      </c>
      <c r="M109" s="158" t="e">
        <f t="shared" si="8"/>
        <v>#DIV/0!</v>
      </c>
      <c r="N109" s="209" t="s">
        <v>1003</v>
      </c>
    </row>
    <row r="110" spans="1:14" ht="15.75" customHeight="1" x14ac:dyDescent="0.25">
      <c r="A110" s="952" t="s">
        <v>942</v>
      </c>
      <c r="B110" s="216" t="s">
        <v>963</v>
      </c>
      <c r="C110" s="217" t="s">
        <v>964</v>
      </c>
      <c r="D110" s="217" t="s">
        <v>965</v>
      </c>
      <c r="E110" s="228" t="s">
        <v>176</v>
      </c>
      <c r="F110" s="218">
        <v>25</v>
      </c>
      <c r="G110" s="218">
        <v>1000</v>
      </c>
      <c r="H110" s="158">
        <v>186</v>
      </c>
      <c r="I110" s="158">
        <v>58</v>
      </c>
      <c r="J110" s="208">
        <f t="shared" si="7"/>
        <v>0.31182795698924731</v>
      </c>
      <c r="K110" s="158">
        <v>0</v>
      </c>
      <c r="L110" s="158">
        <v>0</v>
      </c>
      <c r="M110" s="158" t="e">
        <f t="shared" si="8"/>
        <v>#DIV/0!</v>
      </c>
      <c r="N110" s="243" t="s">
        <v>1004</v>
      </c>
    </row>
    <row r="111" spans="1:14" ht="15.75" customHeight="1" x14ac:dyDescent="0.25">
      <c r="A111" s="948"/>
      <c r="B111" s="30" t="s">
        <v>967</v>
      </c>
      <c r="C111" s="222" t="s">
        <v>968</v>
      </c>
      <c r="D111" s="222" t="s">
        <v>969</v>
      </c>
      <c r="E111" s="228" t="s">
        <v>176</v>
      </c>
      <c r="F111" s="223">
        <v>25</v>
      </c>
      <c r="G111" s="223">
        <v>100</v>
      </c>
      <c r="H111" s="158">
        <v>20</v>
      </c>
      <c r="I111" s="158">
        <v>5</v>
      </c>
      <c r="J111" s="208">
        <f t="shared" si="7"/>
        <v>0.25</v>
      </c>
      <c r="K111" s="158">
        <v>0</v>
      </c>
      <c r="L111" s="158">
        <v>0</v>
      </c>
      <c r="M111" s="158" t="e">
        <f t="shared" si="8"/>
        <v>#DIV/0!</v>
      </c>
      <c r="N111" s="209" t="s">
        <v>1005</v>
      </c>
    </row>
    <row r="112" spans="1:14" ht="15.75" customHeight="1" x14ac:dyDescent="0.25">
      <c r="A112" s="948"/>
      <c r="B112" s="30" t="s">
        <v>971</v>
      </c>
      <c r="C112" s="222" t="s">
        <v>972</v>
      </c>
      <c r="D112" s="222" t="s">
        <v>973</v>
      </c>
      <c r="E112" s="228" t="s">
        <v>176</v>
      </c>
      <c r="F112" s="223">
        <v>25</v>
      </c>
      <c r="G112" s="223">
        <v>9</v>
      </c>
      <c r="H112" s="158">
        <v>1.4</v>
      </c>
      <c r="I112" s="157">
        <v>0.378</v>
      </c>
      <c r="J112" s="208">
        <f t="shared" si="7"/>
        <v>0.27</v>
      </c>
      <c r="K112" s="158">
        <v>0</v>
      </c>
      <c r="L112" s="158">
        <v>0</v>
      </c>
      <c r="M112" s="158" t="e">
        <f t="shared" si="8"/>
        <v>#DIV/0!</v>
      </c>
      <c r="N112" s="244" t="s">
        <v>1006</v>
      </c>
    </row>
    <row r="113" spans="1:14" ht="15.75" customHeight="1" x14ac:dyDescent="0.25">
      <c r="A113" s="953"/>
      <c r="B113" s="226" t="s">
        <v>999</v>
      </c>
      <c r="C113" s="227" t="s">
        <v>976</v>
      </c>
      <c r="D113" s="227" t="s">
        <v>977</v>
      </c>
      <c r="E113" s="228" t="s">
        <v>176</v>
      </c>
      <c r="F113" s="228">
        <v>25</v>
      </c>
      <c r="G113" s="228">
        <v>1</v>
      </c>
      <c r="H113" s="158">
        <v>0.1</v>
      </c>
      <c r="I113" s="158">
        <v>3.5999999999999997E-2</v>
      </c>
      <c r="J113" s="208">
        <f t="shared" si="7"/>
        <v>0.35999999999999993</v>
      </c>
      <c r="K113" s="158">
        <v>0</v>
      </c>
      <c r="L113" s="158">
        <v>0</v>
      </c>
      <c r="M113" s="158" t="e">
        <f t="shared" si="8"/>
        <v>#DIV/0!</v>
      </c>
      <c r="N113" s="209" t="s">
        <v>1007</v>
      </c>
    </row>
    <row r="114" spans="1:14" ht="15.75" customHeight="1" x14ac:dyDescent="0.25">
      <c r="A114" s="952" t="s">
        <v>943</v>
      </c>
      <c r="B114" s="216" t="s">
        <v>963</v>
      </c>
      <c r="C114" s="217" t="s">
        <v>964</v>
      </c>
      <c r="D114" s="217" t="s">
        <v>965</v>
      </c>
      <c r="E114" s="228" t="s">
        <v>176</v>
      </c>
      <c r="F114" s="218">
        <v>25</v>
      </c>
      <c r="G114" s="218">
        <v>1000</v>
      </c>
      <c r="H114" s="158">
        <v>186</v>
      </c>
      <c r="I114" s="158">
        <v>75</v>
      </c>
      <c r="J114" s="208">
        <f t="shared" si="7"/>
        <v>0.40322580645161288</v>
      </c>
      <c r="K114" s="158">
        <v>0</v>
      </c>
      <c r="L114" s="158">
        <v>0</v>
      </c>
      <c r="M114" s="158" t="e">
        <f t="shared" si="8"/>
        <v>#DIV/0!</v>
      </c>
      <c r="N114" s="243" t="s">
        <v>1008</v>
      </c>
    </row>
    <row r="115" spans="1:14" ht="15.75" customHeight="1" x14ac:dyDescent="0.25">
      <c r="A115" s="948"/>
      <c r="B115" s="30" t="s">
        <v>967</v>
      </c>
      <c r="C115" s="222" t="s">
        <v>968</v>
      </c>
      <c r="D115" s="222" t="s">
        <v>969</v>
      </c>
      <c r="E115" s="228" t="s">
        <v>176</v>
      </c>
      <c r="F115" s="223">
        <v>25</v>
      </c>
      <c r="G115" s="223">
        <v>100</v>
      </c>
      <c r="H115" s="158">
        <v>20</v>
      </c>
      <c r="I115" s="158">
        <v>7</v>
      </c>
      <c r="J115" s="208">
        <f t="shared" si="7"/>
        <v>0.35</v>
      </c>
      <c r="K115" s="158">
        <v>0</v>
      </c>
      <c r="L115" s="158">
        <v>0</v>
      </c>
      <c r="M115" s="158" t="e">
        <f t="shared" si="8"/>
        <v>#DIV/0!</v>
      </c>
      <c r="N115" s="209" t="s">
        <v>1009</v>
      </c>
    </row>
    <row r="116" spans="1:14" ht="15.75" customHeight="1" x14ac:dyDescent="0.25">
      <c r="A116" s="948"/>
      <c r="B116" s="30" t="s">
        <v>971</v>
      </c>
      <c r="C116" s="222" t="s">
        <v>972</v>
      </c>
      <c r="D116" s="222" t="s">
        <v>973</v>
      </c>
      <c r="E116" s="228" t="s">
        <v>176</v>
      </c>
      <c r="F116" s="223">
        <v>25</v>
      </c>
      <c r="G116" s="223">
        <v>9</v>
      </c>
      <c r="H116" s="158">
        <v>1.4</v>
      </c>
      <c r="I116" s="157">
        <v>0.504</v>
      </c>
      <c r="J116" s="208">
        <f t="shared" si="7"/>
        <v>0.36000000000000004</v>
      </c>
      <c r="K116" s="158">
        <v>0</v>
      </c>
      <c r="L116" s="158">
        <v>0</v>
      </c>
      <c r="M116" s="158" t="e">
        <f t="shared" si="8"/>
        <v>#DIV/0!</v>
      </c>
      <c r="N116" s="244" t="s">
        <v>1010</v>
      </c>
    </row>
    <row r="117" spans="1:14" ht="15.75" customHeight="1" x14ac:dyDescent="0.25">
      <c r="A117" s="953"/>
      <c r="B117" s="226" t="s">
        <v>999</v>
      </c>
      <c r="C117" s="227" t="s">
        <v>976</v>
      </c>
      <c r="D117" s="227" t="s">
        <v>977</v>
      </c>
      <c r="E117" s="228" t="s">
        <v>176</v>
      </c>
      <c r="F117" s="228">
        <v>25</v>
      </c>
      <c r="G117" s="228">
        <v>1</v>
      </c>
      <c r="H117" s="158">
        <v>0.1</v>
      </c>
      <c r="I117" s="158">
        <v>4.3999999999999997E-2</v>
      </c>
      <c r="J117" s="208">
        <f t="shared" si="7"/>
        <v>0.43999999999999995</v>
      </c>
      <c r="K117" s="158">
        <v>0</v>
      </c>
      <c r="L117" s="158">
        <v>0</v>
      </c>
      <c r="M117" s="158" t="e">
        <f t="shared" si="8"/>
        <v>#DIV/0!</v>
      </c>
      <c r="N117" s="209" t="s">
        <v>1011</v>
      </c>
    </row>
    <row r="118" spans="1:14" ht="15.75" customHeight="1" x14ac:dyDescent="0.25">
      <c r="A118" s="952" t="s">
        <v>944</v>
      </c>
      <c r="B118" s="216" t="s">
        <v>963</v>
      </c>
      <c r="C118" s="217" t="s">
        <v>964</v>
      </c>
      <c r="D118" s="217" t="s">
        <v>965</v>
      </c>
      <c r="E118" s="228" t="s">
        <v>176</v>
      </c>
      <c r="F118" s="218">
        <v>25</v>
      </c>
      <c r="G118" s="218">
        <v>1000</v>
      </c>
      <c r="H118" s="158">
        <v>186</v>
      </c>
      <c r="I118" s="158">
        <v>92</v>
      </c>
      <c r="J118" s="208">
        <f t="shared" si="7"/>
        <v>0.4946236559139785</v>
      </c>
      <c r="K118" s="158">
        <v>0</v>
      </c>
      <c r="L118" s="158">
        <v>0</v>
      </c>
      <c r="M118" s="158" t="e">
        <f t="shared" si="8"/>
        <v>#DIV/0!</v>
      </c>
      <c r="N118" s="243" t="s">
        <v>1012</v>
      </c>
    </row>
    <row r="119" spans="1:14" ht="15.75" customHeight="1" x14ac:dyDescent="0.25">
      <c r="A119" s="948"/>
      <c r="B119" s="30" t="s">
        <v>967</v>
      </c>
      <c r="C119" s="222" t="s">
        <v>968</v>
      </c>
      <c r="D119" s="222" t="s">
        <v>969</v>
      </c>
      <c r="E119" s="228" t="s">
        <v>176</v>
      </c>
      <c r="F119" s="223">
        <v>25</v>
      </c>
      <c r="G119" s="223">
        <v>100</v>
      </c>
      <c r="H119" s="158">
        <v>20</v>
      </c>
      <c r="I119" s="158">
        <v>9</v>
      </c>
      <c r="J119" s="208">
        <f t="shared" si="7"/>
        <v>0.45</v>
      </c>
      <c r="K119" s="158">
        <v>0</v>
      </c>
      <c r="L119" s="158">
        <v>0</v>
      </c>
      <c r="M119" s="158" t="e">
        <f t="shared" si="8"/>
        <v>#DIV/0!</v>
      </c>
      <c r="N119" s="209" t="s">
        <v>1013</v>
      </c>
    </row>
    <row r="120" spans="1:14" ht="15.75" customHeight="1" x14ac:dyDescent="0.25">
      <c r="A120" s="948"/>
      <c r="B120" s="30" t="s">
        <v>971</v>
      </c>
      <c r="C120" s="222" t="s">
        <v>972</v>
      </c>
      <c r="D120" s="222" t="s">
        <v>973</v>
      </c>
      <c r="E120" s="228" t="s">
        <v>176</v>
      </c>
      <c r="F120" s="223">
        <v>25</v>
      </c>
      <c r="G120" s="223">
        <v>9</v>
      </c>
      <c r="H120" s="158">
        <v>1.4</v>
      </c>
      <c r="I120" s="157">
        <v>0.7</v>
      </c>
      <c r="J120" s="208">
        <f t="shared" si="7"/>
        <v>0.5</v>
      </c>
      <c r="K120" s="158">
        <v>0</v>
      </c>
      <c r="L120" s="158">
        <v>0</v>
      </c>
      <c r="M120" s="158" t="e">
        <f t="shared" si="8"/>
        <v>#DIV/0!</v>
      </c>
      <c r="N120" s="244" t="s">
        <v>1014</v>
      </c>
    </row>
    <row r="121" spans="1:14" ht="15.75" customHeight="1" x14ac:dyDescent="0.25">
      <c r="A121" s="953"/>
      <c r="B121" s="226" t="s">
        <v>999</v>
      </c>
      <c r="C121" s="227" t="s">
        <v>976</v>
      </c>
      <c r="D121" s="227" t="s">
        <v>977</v>
      </c>
      <c r="E121" s="228" t="s">
        <v>176</v>
      </c>
      <c r="F121" s="228">
        <v>25</v>
      </c>
      <c r="G121" s="228">
        <v>1</v>
      </c>
      <c r="H121" s="158">
        <v>0.1</v>
      </c>
      <c r="I121" s="158">
        <v>0.05</v>
      </c>
      <c r="J121" s="208">
        <f t="shared" si="7"/>
        <v>0.5</v>
      </c>
      <c r="K121" s="158">
        <v>0</v>
      </c>
      <c r="L121" s="158">
        <v>0</v>
      </c>
      <c r="M121" s="158" t="e">
        <f t="shared" si="8"/>
        <v>#DIV/0!</v>
      </c>
      <c r="N121" s="209" t="s">
        <v>1015</v>
      </c>
    </row>
    <row r="122" spans="1:14" ht="15.75" customHeight="1" x14ac:dyDescent="0.25">
      <c r="A122" s="952" t="s">
        <v>931</v>
      </c>
      <c r="B122" s="216" t="s">
        <v>963</v>
      </c>
      <c r="C122" s="217" t="s">
        <v>964</v>
      </c>
      <c r="D122" s="217" t="s">
        <v>965</v>
      </c>
      <c r="E122" s="245" t="s">
        <v>176</v>
      </c>
      <c r="F122" s="246">
        <v>25</v>
      </c>
      <c r="G122" s="246">
        <v>1000</v>
      </c>
      <c r="H122" s="61">
        <v>186</v>
      </c>
      <c r="I122" s="160">
        <v>109</v>
      </c>
      <c r="J122" s="247">
        <f t="shared" si="7"/>
        <v>0.58602150537634412</v>
      </c>
      <c r="K122" s="160">
        <v>0</v>
      </c>
      <c r="L122" s="160">
        <v>0</v>
      </c>
      <c r="M122" s="160" t="e">
        <f t="shared" si="8"/>
        <v>#DIV/0!</v>
      </c>
      <c r="N122" s="243" t="s">
        <v>1016</v>
      </c>
    </row>
    <row r="123" spans="1:14" ht="15.75" customHeight="1" x14ac:dyDescent="0.25">
      <c r="A123" s="948"/>
      <c r="B123" s="30" t="s">
        <v>967</v>
      </c>
      <c r="C123" s="222" t="s">
        <v>968</v>
      </c>
      <c r="D123" s="222" t="s">
        <v>969</v>
      </c>
      <c r="E123" s="245" t="s">
        <v>176</v>
      </c>
      <c r="F123" s="61">
        <v>25</v>
      </c>
      <c r="G123" s="61">
        <v>100</v>
      </c>
      <c r="H123" s="61">
        <v>20</v>
      </c>
      <c r="I123" s="160">
        <v>11</v>
      </c>
      <c r="J123" s="247">
        <f t="shared" si="7"/>
        <v>0.55000000000000004</v>
      </c>
      <c r="K123" s="160">
        <v>0</v>
      </c>
      <c r="L123" s="160">
        <v>0</v>
      </c>
      <c r="M123" s="160" t="e">
        <f t="shared" si="8"/>
        <v>#DIV/0!</v>
      </c>
      <c r="N123" s="236" t="s">
        <v>1017</v>
      </c>
    </row>
    <row r="124" spans="1:14" ht="15.75" customHeight="1" x14ac:dyDescent="0.25">
      <c r="A124" s="948"/>
      <c r="B124" s="30" t="s">
        <v>971</v>
      </c>
      <c r="C124" s="222" t="s">
        <v>972</v>
      </c>
      <c r="D124" s="222" t="s">
        <v>973</v>
      </c>
      <c r="E124" s="245" t="s">
        <v>176</v>
      </c>
      <c r="F124" s="61">
        <v>25</v>
      </c>
      <c r="G124" s="61">
        <v>9</v>
      </c>
      <c r="H124" s="61">
        <v>1.4</v>
      </c>
      <c r="I124" s="160">
        <v>0.8</v>
      </c>
      <c r="J124" s="247">
        <f t="shared" si="7"/>
        <v>0.57142857142857151</v>
      </c>
      <c r="K124" s="160">
        <v>0</v>
      </c>
      <c r="L124" s="160">
        <v>0</v>
      </c>
      <c r="M124" s="160" t="e">
        <f t="shared" si="8"/>
        <v>#DIV/0!</v>
      </c>
      <c r="N124" s="236" t="s">
        <v>1018</v>
      </c>
    </row>
    <row r="125" spans="1:14" ht="15.75" customHeight="1" x14ac:dyDescent="0.25">
      <c r="A125" s="953"/>
      <c r="B125" s="226" t="s">
        <v>999</v>
      </c>
      <c r="C125" s="227" t="s">
        <v>976</v>
      </c>
      <c r="D125" s="227" t="s">
        <v>977</v>
      </c>
      <c r="E125" s="245" t="s">
        <v>176</v>
      </c>
      <c r="F125" s="245">
        <v>25</v>
      </c>
      <c r="G125" s="245">
        <v>1</v>
      </c>
      <c r="H125" s="61">
        <v>0.1</v>
      </c>
      <c r="I125" s="160">
        <v>0.06</v>
      </c>
      <c r="J125" s="247">
        <f t="shared" si="7"/>
        <v>0.6</v>
      </c>
      <c r="K125" s="160">
        <v>0</v>
      </c>
      <c r="L125" s="160">
        <v>0</v>
      </c>
      <c r="M125" s="160" t="e">
        <f t="shared" si="8"/>
        <v>#DIV/0!</v>
      </c>
      <c r="N125" s="236" t="s">
        <v>1019</v>
      </c>
    </row>
    <row r="126" spans="1:14" ht="15.75" customHeight="1" x14ac:dyDescent="0.25">
      <c r="A126" s="952" t="s">
        <v>932</v>
      </c>
      <c r="B126" s="216" t="s">
        <v>963</v>
      </c>
      <c r="C126" s="217" t="s">
        <v>964</v>
      </c>
      <c r="D126" s="217" t="s">
        <v>965</v>
      </c>
      <c r="E126" s="245" t="s">
        <v>176</v>
      </c>
      <c r="F126" s="246">
        <v>25</v>
      </c>
      <c r="G126" s="246">
        <v>1000</v>
      </c>
      <c r="H126" s="61">
        <v>186</v>
      </c>
      <c r="I126" s="160">
        <v>126</v>
      </c>
      <c r="J126" s="247">
        <f t="shared" si="7"/>
        <v>0.67741935483870963</v>
      </c>
      <c r="K126" s="160">
        <v>0</v>
      </c>
      <c r="L126" s="160">
        <v>0</v>
      </c>
      <c r="M126" s="160" t="e">
        <f t="shared" si="8"/>
        <v>#DIV/0!</v>
      </c>
      <c r="N126" s="243" t="s">
        <v>1020</v>
      </c>
    </row>
    <row r="127" spans="1:14" ht="15.75" customHeight="1" x14ac:dyDescent="0.25">
      <c r="A127" s="948"/>
      <c r="B127" s="30" t="s">
        <v>967</v>
      </c>
      <c r="C127" s="222" t="s">
        <v>968</v>
      </c>
      <c r="D127" s="222" t="s">
        <v>969</v>
      </c>
      <c r="E127" s="245" t="s">
        <v>176</v>
      </c>
      <c r="F127" s="61">
        <v>25</v>
      </c>
      <c r="G127" s="61">
        <v>100</v>
      </c>
      <c r="H127" s="61">
        <v>20</v>
      </c>
      <c r="I127" s="160">
        <v>13</v>
      </c>
      <c r="J127" s="247">
        <f t="shared" si="7"/>
        <v>0.65</v>
      </c>
      <c r="K127" s="160">
        <v>0</v>
      </c>
      <c r="L127" s="160">
        <v>0</v>
      </c>
      <c r="M127" s="160" t="e">
        <f t="shared" si="8"/>
        <v>#DIV/0!</v>
      </c>
      <c r="N127" s="236" t="s">
        <v>1021</v>
      </c>
    </row>
    <row r="128" spans="1:14" ht="15.75" customHeight="1" x14ac:dyDescent="0.25">
      <c r="A128" s="948"/>
      <c r="B128" s="30" t="s">
        <v>971</v>
      </c>
      <c r="C128" s="222" t="s">
        <v>972</v>
      </c>
      <c r="D128" s="222" t="s">
        <v>973</v>
      </c>
      <c r="E128" s="245" t="s">
        <v>176</v>
      </c>
      <c r="F128" s="61">
        <v>25</v>
      </c>
      <c r="G128" s="61">
        <v>9</v>
      </c>
      <c r="H128" s="61">
        <v>1.4</v>
      </c>
      <c r="I128" s="160">
        <v>0.95199999999999996</v>
      </c>
      <c r="J128" s="247">
        <f t="shared" si="7"/>
        <v>0.68</v>
      </c>
      <c r="K128" s="160">
        <v>0</v>
      </c>
      <c r="L128" s="160">
        <v>0</v>
      </c>
      <c r="M128" s="160" t="e">
        <f t="shared" si="8"/>
        <v>#DIV/0!</v>
      </c>
      <c r="N128" s="236" t="s">
        <v>1022</v>
      </c>
    </row>
    <row r="129" spans="1:15" ht="15.75" customHeight="1" x14ac:dyDescent="0.25">
      <c r="A129" s="953"/>
      <c r="B129" s="226" t="s">
        <v>999</v>
      </c>
      <c r="C129" s="227" t="s">
        <v>976</v>
      </c>
      <c r="D129" s="227" t="s">
        <v>977</v>
      </c>
      <c r="E129" s="245" t="s">
        <v>176</v>
      </c>
      <c r="F129" s="245">
        <v>25</v>
      </c>
      <c r="G129" s="245">
        <v>1</v>
      </c>
      <c r="H129" s="61">
        <v>0.1</v>
      </c>
      <c r="I129" s="160">
        <v>0.08</v>
      </c>
      <c r="J129" s="247">
        <f t="shared" si="7"/>
        <v>0.79999999999999993</v>
      </c>
      <c r="K129" s="160">
        <v>0</v>
      </c>
      <c r="L129" s="160">
        <v>0</v>
      </c>
      <c r="M129" s="160" t="e">
        <f t="shared" si="8"/>
        <v>#DIV/0!</v>
      </c>
      <c r="N129" s="236" t="s">
        <v>1023</v>
      </c>
    </row>
    <row r="130" spans="1:15" ht="15.75" customHeight="1" x14ac:dyDescent="0.25">
      <c r="A130" s="952" t="s">
        <v>933</v>
      </c>
      <c r="B130" s="216" t="s">
        <v>963</v>
      </c>
      <c r="C130" s="217" t="s">
        <v>964</v>
      </c>
      <c r="D130" s="217" t="s">
        <v>965</v>
      </c>
      <c r="E130" s="245" t="s">
        <v>176</v>
      </c>
      <c r="F130" s="246">
        <v>25</v>
      </c>
      <c r="G130" s="246">
        <v>1000</v>
      </c>
      <c r="H130" s="61">
        <v>186</v>
      </c>
      <c r="I130" s="160">
        <v>143</v>
      </c>
      <c r="J130" s="247">
        <f t="shared" si="7"/>
        <v>0.76881720430107525</v>
      </c>
      <c r="K130" s="160">
        <v>0</v>
      </c>
      <c r="L130" s="160">
        <v>0</v>
      </c>
      <c r="M130" s="160" t="e">
        <f t="shared" si="8"/>
        <v>#DIV/0!</v>
      </c>
      <c r="N130" s="243" t="s">
        <v>1024</v>
      </c>
    </row>
    <row r="131" spans="1:15" ht="15.75" customHeight="1" x14ac:dyDescent="0.25">
      <c r="A131" s="948"/>
      <c r="B131" s="30" t="s">
        <v>967</v>
      </c>
      <c r="C131" s="222" t="s">
        <v>968</v>
      </c>
      <c r="D131" s="222" t="s">
        <v>969</v>
      </c>
      <c r="E131" s="245" t="s">
        <v>176</v>
      </c>
      <c r="F131" s="61">
        <v>25</v>
      </c>
      <c r="G131" s="61">
        <v>100</v>
      </c>
      <c r="H131" s="61">
        <v>20</v>
      </c>
      <c r="I131" s="160">
        <v>15</v>
      </c>
      <c r="J131" s="247">
        <f t="shared" si="7"/>
        <v>0.75</v>
      </c>
      <c r="K131" s="160">
        <v>0</v>
      </c>
      <c r="L131" s="160">
        <v>0</v>
      </c>
      <c r="M131" s="160" t="e">
        <f t="shared" si="8"/>
        <v>#DIV/0!</v>
      </c>
      <c r="N131" s="236" t="s">
        <v>1025</v>
      </c>
    </row>
    <row r="132" spans="1:15" ht="15.75" customHeight="1" x14ac:dyDescent="0.25">
      <c r="A132" s="948"/>
      <c r="B132" s="30" t="s">
        <v>971</v>
      </c>
      <c r="C132" s="222" t="s">
        <v>972</v>
      </c>
      <c r="D132" s="222" t="s">
        <v>973</v>
      </c>
      <c r="E132" s="245" t="s">
        <v>176</v>
      </c>
      <c r="F132" s="61">
        <v>25</v>
      </c>
      <c r="G132" s="61">
        <v>9</v>
      </c>
      <c r="H132" s="61">
        <v>1.4</v>
      </c>
      <c r="I132" s="160">
        <v>1.0780000000000001</v>
      </c>
      <c r="J132" s="247">
        <f t="shared" si="7"/>
        <v>0.77000000000000013</v>
      </c>
      <c r="K132" s="160">
        <v>0</v>
      </c>
      <c r="L132" s="160">
        <v>0</v>
      </c>
      <c r="M132" s="160" t="e">
        <f t="shared" si="8"/>
        <v>#DIV/0!</v>
      </c>
      <c r="N132" s="236" t="s">
        <v>1026</v>
      </c>
    </row>
    <row r="133" spans="1:15" ht="15.75" customHeight="1" x14ac:dyDescent="0.25">
      <c r="A133" s="953"/>
      <c r="B133" s="226" t="s">
        <v>999</v>
      </c>
      <c r="C133" s="227" t="s">
        <v>976</v>
      </c>
      <c r="D133" s="227" t="s">
        <v>977</v>
      </c>
      <c r="E133" s="245" t="s">
        <v>176</v>
      </c>
      <c r="F133" s="245">
        <v>25</v>
      </c>
      <c r="G133" s="245">
        <v>1</v>
      </c>
      <c r="H133" s="61">
        <v>0.1</v>
      </c>
      <c r="I133" s="160">
        <v>8.5000000000000006E-2</v>
      </c>
      <c r="J133" s="247">
        <f t="shared" si="7"/>
        <v>0.85</v>
      </c>
      <c r="K133" s="160">
        <v>0</v>
      </c>
      <c r="L133" s="160">
        <v>0</v>
      </c>
      <c r="M133" s="160" t="e">
        <f t="shared" si="8"/>
        <v>#DIV/0!</v>
      </c>
      <c r="N133" s="236" t="s">
        <v>1027</v>
      </c>
    </row>
    <row r="134" spans="1:15" ht="15.75" customHeight="1" x14ac:dyDescent="0.25">
      <c r="A134" s="952" t="s">
        <v>934</v>
      </c>
      <c r="B134" s="216" t="s">
        <v>963</v>
      </c>
      <c r="C134" s="217" t="s">
        <v>964</v>
      </c>
      <c r="D134" s="217" t="s">
        <v>965</v>
      </c>
      <c r="E134" s="245" t="s">
        <v>176</v>
      </c>
      <c r="F134" s="246">
        <v>25</v>
      </c>
      <c r="G134" s="246">
        <v>1000</v>
      </c>
      <c r="H134" s="61">
        <v>186</v>
      </c>
      <c r="I134" s="61">
        <v>160</v>
      </c>
      <c r="J134" s="79">
        <f t="shared" si="7"/>
        <v>0.86021505376344087</v>
      </c>
      <c r="K134" s="61">
        <v>0</v>
      </c>
      <c r="L134" s="61">
        <v>0</v>
      </c>
      <c r="M134" s="61" t="e">
        <f t="shared" si="8"/>
        <v>#DIV/0!</v>
      </c>
      <c r="N134" s="248" t="s">
        <v>1028</v>
      </c>
    </row>
    <row r="135" spans="1:15" ht="15.75" customHeight="1" x14ac:dyDescent="0.25">
      <c r="A135" s="948"/>
      <c r="B135" s="30" t="s">
        <v>967</v>
      </c>
      <c r="C135" s="222" t="s">
        <v>968</v>
      </c>
      <c r="D135" s="222" t="s">
        <v>969</v>
      </c>
      <c r="E135" s="245" t="s">
        <v>176</v>
      </c>
      <c r="F135" s="61">
        <v>25</v>
      </c>
      <c r="G135" s="61">
        <v>100</v>
      </c>
      <c r="H135" s="61">
        <v>20</v>
      </c>
      <c r="I135" s="61">
        <v>17</v>
      </c>
      <c r="J135" s="79">
        <f t="shared" si="7"/>
        <v>0.85</v>
      </c>
      <c r="K135" s="61">
        <v>0</v>
      </c>
      <c r="L135" s="61">
        <v>0</v>
      </c>
      <c r="M135" s="61" t="e">
        <f t="shared" si="8"/>
        <v>#DIV/0!</v>
      </c>
      <c r="N135" s="222" t="s">
        <v>1029</v>
      </c>
    </row>
    <row r="136" spans="1:15" ht="15.75" customHeight="1" x14ac:dyDescent="0.25">
      <c r="A136" s="948"/>
      <c r="B136" s="30" t="s">
        <v>971</v>
      </c>
      <c r="C136" s="222" t="s">
        <v>972</v>
      </c>
      <c r="D136" s="222" t="s">
        <v>973</v>
      </c>
      <c r="E136" s="245" t="s">
        <v>176</v>
      </c>
      <c r="F136" s="61">
        <v>25</v>
      </c>
      <c r="G136" s="61">
        <v>9</v>
      </c>
      <c r="H136" s="61">
        <v>1.4</v>
      </c>
      <c r="I136" s="61">
        <v>1.204</v>
      </c>
      <c r="J136" s="79">
        <f t="shared" si="7"/>
        <v>0.86</v>
      </c>
      <c r="K136" s="61">
        <v>0</v>
      </c>
      <c r="L136" s="61">
        <v>0</v>
      </c>
      <c r="M136" s="61" t="e">
        <f t="shared" si="8"/>
        <v>#DIV/0!</v>
      </c>
      <c r="N136" s="222" t="s">
        <v>1030</v>
      </c>
    </row>
    <row r="137" spans="1:15" ht="15.75" customHeight="1" x14ac:dyDescent="0.25">
      <c r="A137" s="953"/>
      <c r="B137" s="226" t="s">
        <v>999</v>
      </c>
      <c r="C137" s="227" t="s">
        <v>976</v>
      </c>
      <c r="D137" s="227" t="s">
        <v>977</v>
      </c>
      <c r="E137" s="245" t="s">
        <v>176</v>
      </c>
      <c r="F137" s="245">
        <v>25</v>
      </c>
      <c r="G137" s="245">
        <v>1</v>
      </c>
      <c r="H137" s="61">
        <v>0.1</v>
      </c>
      <c r="I137" s="61">
        <v>0.09</v>
      </c>
      <c r="J137" s="79">
        <f t="shared" si="7"/>
        <v>0.89999999999999991</v>
      </c>
      <c r="K137" s="61">
        <v>0</v>
      </c>
      <c r="L137" s="61">
        <v>0</v>
      </c>
      <c r="M137" s="61" t="e">
        <f t="shared" si="8"/>
        <v>#DIV/0!</v>
      </c>
      <c r="N137" s="225" t="s">
        <v>1031</v>
      </c>
    </row>
    <row r="138" spans="1:15" ht="15.75" customHeight="1" x14ac:dyDescent="0.25">
      <c r="A138" s="952" t="s">
        <v>936</v>
      </c>
      <c r="B138" s="216" t="s">
        <v>963</v>
      </c>
      <c r="C138" s="217" t="s">
        <v>964</v>
      </c>
      <c r="D138" s="217" t="s">
        <v>965</v>
      </c>
      <c r="E138" s="245" t="s">
        <v>176</v>
      </c>
      <c r="F138" s="246">
        <v>25</v>
      </c>
      <c r="G138" s="246">
        <v>1000</v>
      </c>
      <c r="H138" s="61">
        <v>186</v>
      </c>
      <c r="I138" s="61">
        <v>175</v>
      </c>
      <c r="J138" s="79">
        <f t="shared" si="7"/>
        <v>0.94086021505376349</v>
      </c>
      <c r="K138" s="61">
        <v>0</v>
      </c>
      <c r="L138" s="61">
        <v>0</v>
      </c>
      <c r="M138" s="61" t="e">
        <f t="shared" si="8"/>
        <v>#DIV/0!</v>
      </c>
      <c r="N138" s="248" t="s">
        <v>1032</v>
      </c>
    </row>
    <row r="139" spans="1:15" ht="15.75" customHeight="1" x14ac:dyDescent="0.25">
      <c r="A139" s="948"/>
      <c r="B139" s="30" t="s">
        <v>967</v>
      </c>
      <c r="C139" s="222" t="s">
        <v>968</v>
      </c>
      <c r="D139" s="222" t="s">
        <v>969</v>
      </c>
      <c r="E139" s="245" t="s">
        <v>176</v>
      </c>
      <c r="F139" s="61">
        <v>25</v>
      </c>
      <c r="G139" s="61">
        <v>100</v>
      </c>
      <c r="H139" s="61">
        <v>20</v>
      </c>
      <c r="I139" s="61">
        <v>19</v>
      </c>
      <c r="J139" s="79">
        <f t="shared" si="7"/>
        <v>0.95</v>
      </c>
      <c r="K139" s="61">
        <v>0</v>
      </c>
      <c r="L139" s="61">
        <v>0</v>
      </c>
      <c r="M139" s="61" t="e">
        <f t="shared" si="8"/>
        <v>#DIV/0!</v>
      </c>
      <c r="N139" s="222" t="s">
        <v>1033</v>
      </c>
    </row>
    <row r="140" spans="1:15" ht="15.75" customHeight="1" x14ac:dyDescent="0.25">
      <c r="A140" s="948"/>
      <c r="B140" s="30" t="s">
        <v>971</v>
      </c>
      <c r="C140" s="222" t="s">
        <v>972</v>
      </c>
      <c r="D140" s="222" t="s">
        <v>973</v>
      </c>
      <c r="E140" s="245" t="s">
        <v>176</v>
      </c>
      <c r="F140" s="61">
        <v>25</v>
      </c>
      <c r="G140" s="61">
        <v>9</v>
      </c>
      <c r="H140" s="61">
        <v>1.4</v>
      </c>
      <c r="I140" s="61">
        <v>1.33</v>
      </c>
      <c r="J140" s="79">
        <f t="shared" si="7"/>
        <v>0.95000000000000007</v>
      </c>
      <c r="K140" s="61">
        <v>0</v>
      </c>
      <c r="L140" s="61">
        <v>0</v>
      </c>
      <c r="M140" s="61" t="e">
        <f t="shared" si="8"/>
        <v>#DIV/0!</v>
      </c>
      <c r="N140" s="222" t="s">
        <v>1034</v>
      </c>
    </row>
    <row r="141" spans="1:15" ht="15.75" customHeight="1" x14ac:dyDescent="0.25">
      <c r="A141" s="953"/>
      <c r="B141" s="226" t="s">
        <v>999</v>
      </c>
      <c r="C141" s="227" t="s">
        <v>976</v>
      </c>
      <c r="D141" s="227" t="s">
        <v>977</v>
      </c>
      <c r="E141" s="245" t="s">
        <v>176</v>
      </c>
      <c r="F141" s="245">
        <v>25</v>
      </c>
      <c r="G141" s="245">
        <v>1</v>
      </c>
      <c r="H141" s="61">
        <v>0.1</v>
      </c>
      <c r="I141" s="61">
        <v>9.5000000000000001E-2</v>
      </c>
      <c r="J141" s="79">
        <f t="shared" si="7"/>
        <v>0.95</v>
      </c>
      <c r="K141" s="61">
        <v>0</v>
      </c>
      <c r="L141" s="61">
        <v>0</v>
      </c>
      <c r="M141" s="61" t="e">
        <f t="shared" si="8"/>
        <v>#DIV/0!</v>
      </c>
      <c r="N141" s="225" t="s">
        <v>1035</v>
      </c>
    </row>
    <row r="142" spans="1:15" ht="15.75" customHeight="1" x14ac:dyDescent="0.25">
      <c r="A142" s="952" t="s">
        <v>937</v>
      </c>
      <c r="B142" s="216" t="s">
        <v>963</v>
      </c>
      <c r="C142" s="217" t="s">
        <v>964</v>
      </c>
      <c r="D142" s="217" t="s">
        <v>965</v>
      </c>
      <c r="E142" s="245" t="s">
        <v>176</v>
      </c>
      <c r="F142" s="246">
        <v>25</v>
      </c>
      <c r="G142" s="246">
        <v>1000</v>
      </c>
      <c r="H142" s="61">
        <v>186</v>
      </c>
      <c r="I142" s="61">
        <v>191</v>
      </c>
      <c r="J142" s="79">
        <f t="shared" si="7"/>
        <v>1.0268817204301075</v>
      </c>
      <c r="K142" s="61">
        <v>0</v>
      </c>
      <c r="L142" s="61">
        <v>0</v>
      </c>
      <c r="M142" s="61" t="e">
        <f t="shared" si="8"/>
        <v>#DIV/0!</v>
      </c>
      <c r="N142" s="248" t="s">
        <v>1036</v>
      </c>
      <c r="O142" s="88"/>
    </row>
    <row r="143" spans="1:15" ht="15.75" customHeight="1" x14ac:dyDescent="0.25">
      <c r="A143" s="948"/>
      <c r="B143" s="30" t="s">
        <v>967</v>
      </c>
      <c r="C143" s="222" t="s">
        <v>968</v>
      </c>
      <c r="D143" s="222" t="s">
        <v>969</v>
      </c>
      <c r="E143" s="245" t="s">
        <v>176</v>
      </c>
      <c r="F143" s="61">
        <v>25</v>
      </c>
      <c r="G143" s="61">
        <v>100</v>
      </c>
      <c r="H143" s="61">
        <v>20</v>
      </c>
      <c r="I143" s="61">
        <v>20</v>
      </c>
      <c r="J143" s="79">
        <f t="shared" si="7"/>
        <v>1</v>
      </c>
      <c r="K143" s="61">
        <v>0</v>
      </c>
      <c r="L143" s="61">
        <v>0</v>
      </c>
      <c r="M143" s="61" t="e">
        <f t="shared" si="8"/>
        <v>#DIV/0!</v>
      </c>
      <c r="N143" s="222" t="s">
        <v>1037</v>
      </c>
      <c r="O143" s="88"/>
    </row>
    <row r="144" spans="1:15" ht="15.75" customHeight="1" x14ac:dyDescent="0.25">
      <c r="A144" s="948"/>
      <c r="B144" s="30" t="s">
        <v>971</v>
      </c>
      <c r="C144" s="222" t="s">
        <v>972</v>
      </c>
      <c r="D144" s="222" t="s">
        <v>973</v>
      </c>
      <c r="E144" s="245" t="s">
        <v>176</v>
      </c>
      <c r="F144" s="61">
        <v>25</v>
      </c>
      <c r="G144" s="61">
        <v>9</v>
      </c>
      <c r="H144" s="61">
        <v>1.4</v>
      </c>
      <c r="I144" s="61">
        <v>1.4</v>
      </c>
      <c r="J144" s="79">
        <f t="shared" si="7"/>
        <v>1</v>
      </c>
      <c r="K144" s="61">
        <v>0</v>
      </c>
      <c r="L144" s="61">
        <v>0</v>
      </c>
      <c r="M144" s="61" t="e">
        <f t="shared" si="8"/>
        <v>#DIV/0!</v>
      </c>
      <c r="N144" s="222" t="s">
        <v>1038</v>
      </c>
      <c r="O144" s="88"/>
    </row>
    <row r="145" spans="1:15" ht="15.75" customHeight="1" x14ac:dyDescent="0.25">
      <c r="A145" s="953"/>
      <c r="B145" s="226" t="s">
        <v>999</v>
      </c>
      <c r="C145" s="227" t="s">
        <v>976</v>
      </c>
      <c r="D145" s="227" t="s">
        <v>977</v>
      </c>
      <c r="E145" s="245" t="s">
        <v>176</v>
      </c>
      <c r="F145" s="245">
        <v>25</v>
      </c>
      <c r="G145" s="245">
        <v>1</v>
      </c>
      <c r="H145" s="61">
        <v>0.1</v>
      </c>
      <c r="I145" s="61">
        <v>0.1</v>
      </c>
      <c r="J145" s="79">
        <f t="shared" si="7"/>
        <v>1</v>
      </c>
      <c r="K145" s="61">
        <v>0</v>
      </c>
      <c r="L145" s="61">
        <v>0</v>
      </c>
      <c r="M145" s="61" t="e">
        <f t="shared" si="8"/>
        <v>#DIV/0!</v>
      </c>
      <c r="N145" s="225" t="s">
        <v>1039</v>
      </c>
      <c r="O145" s="88"/>
    </row>
    <row r="146" spans="1:15" ht="15.75" customHeight="1" x14ac:dyDescent="0.25">
      <c r="B146" s="161"/>
      <c r="C146" s="162"/>
      <c r="D146" s="162"/>
      <c r="J146" s="125"/>
      <c r="N146" s="162"/>
    </row>
    <row r="147" spans="1:15" ht="15.75" customHeight="1" x14ac:dyDescent="0.25">
      <c r="A147" s="946" t="s">
        <v>1040</v>
      </c>
      <c r="B147" s="679"/>
      <c r="C147" s="679"/>
      <c r="D147" s="679"/>
      <c r="E147" s="679"/>
      <c r="F147" s="679"/>
      <c r="G147" s="679"/>
      <c r="H147" s="679"/>
      <c r="I147" s="679"/>
      <c r="J147" s="679"/>
      <c r="K147" s="679"/>
      <c r="L147" s="679"/>
      <c r="M147" s="679"/>
      <c r="N147" s="721"/>
    </row>
    <row r="148" spans="1:15" ht="44.25" customHeight="1" x14ac:dyDescent="0.25">
      <c r="A148" s="163" t="s">
        <v>26</v>
      </c>
      <c r="B148" s="164" t="s">
        <v>950</v>
      </c>
      <c r="C148" s="164" t="s">
        <v>951</v>
      </c>
      <c r="D148" s="164" t="s">
        <v>952</v>
      </c>
      <c r="E148" s="164" t="s">
        <v>953</v>
      </c>
      <c r="F148" s="164" t="s">
        <v>1041</v>
      </c>
      <c r="G148" s="164" t="s">
        <v>955</v>
      </c>
      <c r="H148" s="164" t="s">
        <v>1042</v>
      </c>
      <c r="I148" s="164" t="s">
        <v>1043</v>
      </c>
      <c r="J148" s="207" t="s">
        <v>1044</v>
      </c>
      <c r="K148" s="164" t="s">
        <v>959</v>
      </c>
      <c r="L148" s="164" t="s">
        <v>960</v>
      </c>
      <c r="M148" s="164" t="s">
        <v>961</v>
      </c>
      <c r="N148" s="165" t="s">
        <v>962</v>
      </c>
    </row>
    <row r="149" spans="1:15" ht="15.75" customHeight="1" x14ac:dyDescent="0.25">
      <c r="A149" s="952" t="s">
        <v>939</v>
      </c>
      <c r="B149" s="216" t="s">
        <v>963</v>
      </c>
      <c r="C149" s="217" t="s">
        <v>964</v>
      </c>
      <c r="D149" s="217" t="s">
        <v>965</v>
      </c>
      <c r="E149" s="245" t="s">
        <v>176</v>
      </c>
      <c r="F149" s="246">
        <v>25</v>
      </c>
      <c r="G149" s="246">
        <v>1000</v>
      </c>
      <c r="H149" s="61">
        <v>250</v>
      </c>
      <c r="I149" s="61">
        <v>0</v>
      </c>
      <c r="J149" s="79">
        <f t="shared" ref="J149:J152" si="9">I149/H149</f>
        <v>0</v>
      </c>
      <c r="K149" s="61">
        <v>0</v>
      </c>
      <c r="L149" s="61">
        <v>0</v>
      </c>
      <c r="M149" s="61" t="e">
        <f t="shared" ref="M149:M152" si="10">L149/K149</f>
        <v>#DIV/0!</v>
      </c>
      <c r="N149" s="248" t="s">
        <v>1045</v>
      </c>
      <c r="O149" s="249"/>
    </row>
    <row r="150" spans="1:15" ht="15.75" customHeight="1" x14ac:dyDescent="0.25">
      <c r="A150" s="948"/>
      <c r="B150" s="30" t="s">
        <v>967</v>
      </c>
      <c r="C150" s="222" t="s">
        <v>968</v>
      </c>
      <c r="D150" s="222" t="s">
        <v>969</v>
      </c>
      <c r="E150" s="245" t="s">
        <v>176</v>
      </c>
      <c r="F150" s="61">
        <v>25</v>
      </c>
      <c r="G150" s="61">
        <v>100</v>
      </c>
      <c r="H150" s="61">
        <v>20</v>
      </c>
      <c r="I150" s="61">
        <v>2</v>
      </c>
      <c r="J150" s="79">
        <f t="shared" si="9"/>
        <v>0.1</v>
      </c>
      <c r="K150" s="61">
        <v>0</v>
      </c>
      <c r="L150" s="61">
        <v>0</v>
      </c>
      <c r="M150" s="61" t="e">
        <f t="shared" si="10"/>
        <v>#DIV/0!</v>
      </c>
      <c r="N150" s="222" t="s">
        <v>1046</v>
      </c>
      <c r="O150" s="249"/>
    </row>
    <row r="151" spans="1:15" ht="15.75" customHeight="1" x14ac:dyDescent="0.25">
      <c r="A151" s="948"/>
      <c r="B151" s="30" t="s">
        <v>971</v>
      </c>
      <c r="C151" s="222" t="s">
        <v>972</v>
      </c>
      <c r="D151" s="222" t="s">
        <v>973</v>
      </c>
      <c r="E151" s="245" t="s">
        <v>176</v>
      </c>
      <c r="F151" s="61">
        <v>25</v>
      </c>
      <c r="G151" s="61">
        <v>9</v>
      </c>
      <c r="H151" s="160">
        <v>3.3</v>
      </c>
      <c r="I151" s="61">
        <v>7.4999999999999997E-2</v>
      </c>
      <c r="J151" s="79">
        <f t="shared" si="9"/>
        <v>2.2727272727272728E-2</v>
      </c>
      <c r="K151" s="61">
        <v>0</v>
      </c>
      <c r="L151" s="61">
        <v>0</v>
      </c>
      <c r="M151" s="61" t="e">
        <f t="shared" si="10"/>
        <v>#DIV/0!</v>
      </c>
      <c r="N151" s="222" t="s">
        <v>1047</v>
      </c>
      <c r="O151" s="249"/>
    </row>
    <row r="152" spans="1:15" ht="15.75" customHeight="1" x14ac:dyDescent="0.25">
      <c r="A152" s="953"/>
      <c r="B152" s="226" t="s">
        <v>999</v>
      </c>
      <c r="C152" s="227" t="s">
        <v>976</v>
      </c>
      <c r="D152" s="227" t="s">
        <v>977</v>
      </c>
      <c r="E152" s="245" t="s">
        <v>176</v>
      </c>
      <c r="F152" s="245">
        <v>25</v>
      </c>
      <c r="G152" s="245">
        <v>1</v>
      </c>
      <c r="H152" s="160">
        <v>0.1</v>
      </c>
      <c r="I152" s="61">
        <v>0.01</v>
      </c>
      <c r="J152" s="79">
        <f t="shared" si="9"/>
        <v>9.9999999999999992E-2</v>
      </c>
      <c r="K152" s="61">
        <v>0</v>
      </c>
      <c r="L152" s="61">
        <v>0</v>
      </c>
      <c r="M152" s="61" t="e">
        <f t="shared" si="10"/>
        <v>#DIV/0!</v>
      </c>
      <c r="N152" s="225" t="s">
        <v>1048</v>
      </c>
      <c r="O152" s="249"/>
    </row>
    <row r="153" spans="1:15" ht="15.75" customHeight="1" x14ac:dyDescent="0.25">
      <c r="A153" s="952" t="s">
        <v>940</v>
      </c>
      <c r="B153" s="216" t="s">
        <v>963</v>
      </c>
      <c r="C153" s="217" t="s">
        <v>964</v>
      </c>
      <c r="D153" s="217" t="s">
        <v>965</v>
      </c>
      <c r="E153" s="245" t="s">
        <v>176</v>
      </c>
      <c r="F153" s="246">
        <v>25</v>
      </c>
      <c r="G153" s="246">
        <v>1000</v>
      </c>
      <c r="H153" s="61">
        <v>250</v>
      </c>
      <c r="I153" s="61">
        <v>24</v>
      </c>
      <c r="J153" s="79">
        <v>0</v>
      </c>
      <c r="K153" s="61">
        <v>0</v>
      </c>
      <c r="L153" s="61">
        <v>0</v>
      </c>
      <c r="M153" s="61" t="s">
        <v>1049</v>
      </c>
      <c r="N153" s="248" t="s">
        <v>1050</v>
      </c>
      <c r="O153" s="250"/>
    </row>
    <row r="154" spans="1:15" ht="15.75" customHeight="1" x14ac:dyDescent="0.25">
      <c r="A154" s="948"/>
      <c r="B154" s="30" t="s">
        <v>967</v>
      </c>
      <c r="C154" s="222" t="s">
        <v>968</v>
      </c>
      <c r="D154" s="222" t="s">
        <v>969</v>
      </c>
      <c r="E154" s="245" t="s">
        <v>176</v>
      </c>
      <c r="F154" s="61">
        <v>25</v>
      </c>
      <c r="G154" s="61">
        <v>100</v>
      </c>
      <c r="H154" s="61">
        <v>20</v>
      </c>
      <c r="I154" s="61">
        <v>4</v>
      </c>
      <c r="J154" s="79">
        <f t="shared" ref="J154:J156" si="11">I154/H154</f>
        <v>0.2</v>
      </c>
      <c r="K154" s="61">
        <v>0</v>
      </c>
      <c r="L154" s="61">
        <v>0</v>
      </c>
      <c r="M154" s="61" t="e">
        <f t="shared" ref="M154:M156" si="12">L154/K154</f>
        <v>#DIV/0!</v>
      </c>
      <c r="N154" s="222" t="s">
        <v>1051</v>
      </c>
      <c r="O154" s="250"/>
    </row>
    <row r="155" spans="1:15" ht="15.75" customHeight="1" x14ac:dyDescent="0.25">
      <c r="A155" s="948"/>
      <c r="B155" s="30" t="s">
        <v>971</v>
      </c>
      <c r="C155" s="222" t="s">
        <v>972</v>
      </c>
      <c r="D155" s="222" t="s">
        <v>973</v>
      </c>
      <c r="E155" s="245" t="s">
        <v>176</v>
      </c>
      <c r="F155" s="61">
        <v>25</v>
      </c>
      <c r="G155" s="61">
        <v>9</v>
      </c>
      <c r="H155" s="160">
        <v>3.3</v>
      </c>
      <c r="I155" s="61">
        <v>0.3</v>
      </c>
      <c r="J155" s="79">
        <f t="shared" si="11"/>
        <v>9.0909090909090912E-2</v>
      </c>
      <c r="K155" s="61">
        <v>0</v>
      </c>
      <c r="L155" s="61">
        <v>0</v>
      </c>
      <c r="M155" s="61" t="e">
        <f t="shared" si="12"/>
        <v>#DIV/0!</v>
      </c>
      <c r="N155" s="222" t="s">
        <v>1052</v>
      </c>
      <c r="O155" s="250"/>
    </row>
    <row r="156" spans="1:15" ht="15.75" customHeight="1" x14ac:dyDescent="0.25">
      <c r="A156" s="953"/>
      <c r="B156" s="226" t="s">
        <v>999</v>
      </c>
      <c r="C156" s="227" t="s">
        <v>976</v>
      </c>
      <c r="D156" s="227" t="s">
        <v>977</v>
      </c>
      <c r="E156" s="245" t="s">
        <v>176</v>
      </c>
      <c r="F156" s="245">
        <v>25</v>
      </c>
      <c r="G156" s="245">
        <v>1</v>
      </c>
      <c r="H156" s="160">
        <v>0.1</v>
      </c>
      <c r="I156" s="362">
        <v>0.02</v>
      </c>
      <c r="J156" s="79">
        <f t="shared" si="11"/>
        <v>0.19999999999999998</v>
      </c>
      <c r="K156" s="61">
        <v>0</v>
      </c>
      <c r="L156" s="61">
        <v>0</v>
      </c>
      <c r="M156" s="61" t="e">
        <f t="shared" si="12"/>
        <v>#DIV/0!</v>
      </c>
      <c r="N156" s="225" t="s">
        <v>1048</v>
      </c>
      <c r="O156" s="250"/>
    </row>
    <row r="157" spans="1:15" ht="99" customHeight="1" x14ac:dyDescent="0.25">
      <c r="A157" s="952" t="s">
        <v>941</v>
      </c>
      <c r="B157" s="216" t="s">
        <v>963</v>
      </c>
      <c r="C157" s="217" t="s">
        <v>964</v>
      </c>
      <c r="D157" s="217" t="s">
        <v>965</v>
      </c>
      <c r="E157" s="245" t="s">
        <v>176</v>
      </c>
      <c r="F157" s="246">
        <v>25</v>
      </c>
      <c r="G157" s="246">
        <v>1000</v>
      </c>
      <c r="H157" s="61">
        <v>250</v>
      </c>
      <c r="I157" s="61">
        <v>48</v>
      </c>
      <c r="J157" s="79">
        <v>0</v>
      </c>
      <c r="K157" s="61">
        <v>0</v>
      </c>
      <c r="L157" s="61">
        <v>0</v>
      </c>
      <c r="M157" s="61" t="s">
        <v>1049</v>
      </c>
      <c r="N157" s="248" t="s">
        <v>1053</v>
      </c>
      <c r="O157" s="250"/>
    </row>
    <row r="158" spans="1:15" ht="99" customHeight="1" x14ac:dyDescent="0.25">
      <c r="A158" s="948"/>
      <c r="B158" s="30" t="s">
        <v>967</v>
      </c>
      <c r="C158" s="222" t="s">
        <v>968</v>
      </c>
      <c r="D158" s="222" t="s">
        <v>969</v>
      </c>
      <c r="E158" s="245" t="s">
        <v>176</v>
      </c>
      <c r="F158" s="61">
        <v>25</v>
      </c>
      <c r="G158" s="61">
        <v>100</v>
      </c>
      <c r="H158" s="61">
        <v>20</v>
      </c>
      <c r="I158" s="61">
        <v>5</v>
      </c>
      <c r="J158" s="79">
        <f t="shared" ref="J158:J160" si="13">I158/H158</f>
        <v>0.25</v>
      </c>
      <c r="K158" s="61">
        <v>0</v>
      </c>
      <c r="L158" s="61">
        <v>0</v>
      </c>
      <c r="M158" s="61" t="e">
        <f t="shared" ref="M158:M160" si="14">L158/K158</f>
        <v>#DIV/0!</v>
      </c>
      <c r="N158" s="222" t="s">
        <v>1054</v>
      </c>
      <c r="O158" s="250"/>
    </row>
    <row r="159" spans="1:15" ht="99" customHeight="1" x14ac:dyDescent="0.25">
      <c r="A159" s="948"/>
      <c r="B159" s="30" t="s">
        <v>971</v>
      </c>
      <c r="C159" s="222" t="s">
        <v>972</v>
      </c>
      <c r="D159" s="222" t="s">
        <v>973</v>
      </c>
      <c r="E159" s="245" t="s">
        <v>176</v>
      </c>
      <c r="F159" s="61">
        <v>25</v>
      </c>
      <c r="G159" s="61">
        <v>9</v>
      </c>
      <c r="H159" s="160">
        <v>3.3</v>
      </c>
      <c r="I159" s="61">
        <v>0.53</v>
      </c>
      <c r="J159" s="79">
        <f t="shared" si="13"/>
        <v>0.16060606060606061</v>
      </c>
      <c r="K159" s="61">
        <v>0</v>
      </c>
      <c r="L159" s="61">
        <v>0</v>
      </c>
      <c r="M159" s="61" t="e">
        <f t="shared" si="14"/>
        <v>#DIV/0!</v>
      </c>
      <c r="N159" s="222" t="s">
        <v>1055</v>
      </c>
      <c r="O159" s="250"/>
    </row>
    <row r="160" spans="1:15" ht="99" customHeight="1" x14ac:dyDescent="0.25">
      <c r="A160" s="953"/>
      <c r="B160" s="226" t="s">
        <v>999</v>
      </c>
      <c r="C160" s="227" t="s">
        <v>976</v>
      </c>
      <c r="D160" s="227" t="s">
        <v>977</v>
      </c>
      <c r="E160" s="245" t="s">
        <v>176</v>
      </c>
      <c r="F160" s="245">
        <v>25</v>
      </c>
      <c r="G160" s="245">
        <v>1</v>
      </c>
      <c r="H160" s="160">
        <v>0.1</v>
      </c>
      <c r="I160" s="61">
        <v>3.2000000000000001E-2</v>
      </c>
      <c r="J160" s="79">
        <f t="shared" si="13"/>
        <v>0.32</v>
      </c>
      <c r="K160" s="61">
        <v>0</v>
      </c>
      <c r="L160" s="61">
        <v>0</v>
      </c>
      <c r="M160" s="61" t="e">
        <f t="shared" si="14"/>
        <v>#DIV/0!</v>
      </c>
      <c r="N160" s="225" t="s">
        <v>1056</v>
      </c>
      <c r="O160" s="250"/>
    </row>
    <row r="161" spans="1:15" ht="99" customHeight="1" x14ac:dyDescent="0.25">
      <c r="A161" s="952" t="s">
        <v>942</v>
      </c>
      <c r="B161" s="216" t="s">
        <v>963</v>
      </c>
      <c r="C161" s="217" t="s">
        <v>964</v>
      </c>
      <c r="D161" s="217" t="s">
        <v>965</v>
      </c>
      <c r="E161" s="245" t="s">
        <v>176</v>
      </c>
      <c r="F161" s="246">
        <v>25</v>
      </c>
      <c r="G161" s="246">
        <v>1000</v>
      </c>
      <c r="H161" s="61">
        <v>250</v>
      </c>
      <c r="I161" s="61">
        <v>72</v>
      </c>
      <c r="J161" s="79">
        <v>0</v>
      </c>
      <c r="K161" s="61">
        <v>0</v>
      </c>
      <c r="L161" s="61">
        <v>0</v>
      </c>
      <c r="M161" s="61" t="s">
        <v>1049</v>
      </c>
      <c r="N161" s="248" t="s">
        <v>1057</v>
      </c>
      <c r="O161" s="250"/>
    </row>
    <row r="162" spans="1:15" ht="99" customHeight="1" x14ac:dyDescent="0.25">
      <c r="A162" s="948"/>
      <c r="B162" s="30" t="s">
        <v>967</v>
      </c>
      <c r="C162" s="222" t="s">
        <v>968</v>
      </c>
      <c r="D162" s="222" t="s">
        <v>969</v>
      </c>
      <c r="E162" s="245" t="s">
        <v>176</v>
      </c>
      <c r="F162" s="61">
        <v>25</v>
      </c>
      <c r="G162" s="61">
        <v>100</v>
      </c>
      <c r="H162" s="61">
        <v>20</v>
      </c>
      <c r="I162" s="61">
        <v>8</v>
      </c>
      <c r="J162" s="79">
        <f t="shared" ref="J162:J164" si="15">I162/H162</f>
        <v>0.4</v>
      </c>
      <c r="K162" s="61">
        <v>0</v>
      </c>
      <c r="L162" s="61">
        <v>0</v>
      </c>
      <c r="M162" s="61" t="e">
        <f t="shared" ref="M162:M164" si="16">L162/K162</f>
        <v>#DIV/0!</v>
      </c>
      <c r="N162" s="222" t="s">
        <v>1058</v>
      </c>
      <c r="O162" s="250"/>
    </row>
    <row r="163" spans="1:15" ht="99" customHeight="1" x14ac:dyDescent="0.25">
      <c r="A163" s="948"/>
      <c r="B163" s="30" t="s">
        <v>971</v>
      </c>
      <c r="C163" s="222" t="s">
        <v>972</v>
      </c>
      <c r="D163" s="222" t="s">
        <v>973</v>
      </c>
      <c r="E163" s="245" t="s">
        <v>176</v>
      </c>
      <c r="F163" s="61">
        <v>25</v>
      </c>
      <c r="G163" s="61">
        <v>9</v>
      </c>
      <c r="H163" s="160">
        <v>3.3</v>
      </c>
      <c r="I163" s="61">
        <v>0.75</v>
      </c>
      <c r="J163" s="79">
        <f t="shared" si="15"/>
        <v>0.22727272727272729</v>
      </c>
      <c r="K163" s="61">
        <v>0</v>
      </c>
      <c r="L163" s="61">
        <v>0</v>
      </c>
      <c r="M163" s="61" t="e">
        <f t="shared" si="16"/>
        <v>#DIV/0!</v>
      </c>
      <c r="N163" s="222" t="s">
        <v>1059</v>
      </c>
      <c r="O163" s="250"/>
    </row>
    <row r="164" spans="1:15" ht="99" customHeight="1" x14ac:dyDescent="0.25">
      <c r="A164" s="953"/>
      <c r="B164" s="226" t="s">
        <v>999</v>
      </c>
      <c r="C164" s="227" t="s">
        <v>976</v>
      </c>
      <c r="D164" s="227" t="s">
        <v>977</v>
      </c>
      <c r="E164" s="245" t="s">
        <v>176</v>
      </c>
      <c r="F164" s="245">
        <v>25</v>
      </c>
      <c r="G164" s="245">
        <v>1</v>
      </c>
      <c r="H164" s="160">
        <v>0.1</v>
      </c>
      <c r="I164" s="61">
        <v>4.4999999999999998E-2</v>
      </c>
      <c r="J164" s="79">
        <f t="shared" si="15"/>
        <v>0.44999999999999996</v>
      </c>
      <c r="K164" s="61">
        <v>0</v>
      </c>
      <c r="L164" s="61">
        <v>0</v>
      </c>
      <c r="M164" s="61" t="e">
        <f t="shared" si="16"/>
        <v>#DIV/0!</v>
      </c>
      <c r="N164" s="225" t="s">
        <v>1056</v>
      </c>
      <c r="O164" s="250"/>
    </row>
    <row r="165" spans="1:15" ht="83.25" customHeight="1" x14ac:dyDescent="0.25">
      <c r="A165" s="952" t="s">
        <v>943</v>
      </c>
      <c r="B165" s="216" t="s">
        <v>963</v>
      </c>
      <c r="C165" s="217" t="s">
        <v>964</v>
      </c>
      <c r="D165" s="217" t="s">
        <v>965</v>
      </c>
      <c r="E165" s="245" t="s">
        <v>176</v>
      </c>
      <c r="F165" s="246">
        <v>25</v>
      </c>
      <c r="G165" s="246">
        <v>1000</v>
      </c>
      <c r="H165" s="61">
        <v>250</v>
      </c>
      <c r="I165" s="61">
        <v>96</v>
      </c>
      <c r="J165" s="79">
        <v>0</v>
      </c>
      <c r="K165" s="61">
        <v>0</v>
      </c>
      <c r="L165" s="61">
        <v>0</v>
      </c>
      <c r="M165" s="61" t="s">
        <v>1049</v>
      </c>
      <c r="N165" s="248" t="s">
        <v>1060</v>
      </c>
      <c r="O165" s="250"/>
    </row>
    <row r="166" spans="1:15" ht="83.25" customHeight="1" x14ac:dyDescent="0.25">
      <c r="A166" s="948"/>
      <c r="B166" s="30" t="s">
        <v>967</v>
      </c>
      <c r="C166" s="222" t="s">
        <v>968</v>
      </c>
      <c r="D166" s="222" t="s">
        <v>969</v>
      </c>
      <c r="E166" s="245" t="s">
        <v>176</v>
      </c>
      <c r="F166" s="61">
        <v>25</v>
      </c>
      <c r="G166" s="61">
        <v>100</v>
      </c>
      <c r="H166" s="61">
        <v>20</v>
      </c>
      <c r="I166" s="61">
        <v>10</v>
      </c>
      <c r="J166" s="79">
        <f t="shared" ref="J166:J168" si="17">I166/H166</f>
        <v>0.5</v>
      </c>
      <c r="K166" s="61">
        <v>0</v>
      </c>
      <c r="L166" s="61">
        <v>0</v>
      </c>
      <c r="M166" s="61" t="e">
        <f t="shared" ref="M166:M168" si="18">L166/K166</f>
        <v>#DIV/0!</v>
      </c>
      <c r="N166" s="222" t="s">
        <v>1061</v>
      </c>
      <c r="O166" s="250"/>
    </row>
    <row r="167" spans="1:15" ht="83.25" customHeight="1" x14ac:dyDescent="0.25">
      <c r="A167" s="948"/>
      <c r="B167" s="30" t="s">
        <v>971</v>
      </c>
      <c r="C167" s="222" t="s">
        <v>972</v>
      </c>
      <c r="D167" s="222" t="s">
        <v>973</v>
      </c>
      <c r="E167" s="245" t="s">
        <v>176</v>
      </c>
      <c r="F167" s="61">
        <v>25</v>
      </c>
      <c r="G167" s="61">
        <v>9</v>
      </c>
      <c r="H167" s="160">
        <v>3.3</v>
      </c>
      <c r="I167" s="61">
        <v>0.97499999999999998</v>
      </c>
      <c r="J167" s="79">
        <f t="shared" si="17"/>
        <v>0.29545454545454547</v>
      </c>
      <c r="K167" s="61">
        <v>0</v>
      </c>
      <c r="L167" s="61">
        <v>0</v>
      </c>
      <c r="M167" s="61" t="e">
        <f t="shared" si="18"/>
        <v>#DIV/0!</v>
      </c>
      <c r="N167" s="222" t="s">
        <v>1062</v>
      </c>
      <c r="O167" s="250"/>
    </row>
    <row r="168" spans="1:15" ht="83.25" customHeight="1" x14ac:dyDescent="0.25">
      <c r="A168" s="953"/>
      <c r="B168" s="226" t="s">
        <v>999</v>
      </c>
      <c r="C168" s="227" t="s">
        <v>976</v>
      </c>
      <c r="D168" s="227" t="s">
        <v>977</v>
      </c>
      <c r="E168" s="245" t="s">
        <v>176</v>
      </c>
      <c r="F168" s="245">
        <v>25</v>
      </c>
      <c r="G168" s="245">
        <v>1</v>
      </c>
      <c r="H168" s="61">
        <v>0.1</v>
      </c>
      <c r="I168" s="61">
        <v>5.8000000000000003E-2</v>
      </c>
      <c r="J168" s="79">
        <f t="shared" si="17"/>
        <v>0.57999999999999996</v>
      </c>
      <c r="K168" s="61">
        <v>0</v>
      </c>
      <c r="L168" s="61">
        <v>0</v>
      </c>
      <c r="M168" s="61" t="e">
        <f t="shared" si="18"/>
        <v>#DIV/0!</v>
      </c>
      <c r="N168" s="225" t="s">
        <v>1063</v>
      </c>
      <c r="O168" s="250"/>
    </row>
    <row r="169" spans="1:15" ht="83.25" customHeight="1" x14ac:dyDescent="0.25">
      <c r="A169" s="952" t="s">
        <v>944</v>
      </c>
      <c r="B169" s="216" t="s">
        <v>963</v>
      </c>
      <c r="C169" s="217" t="s">
        <v>964</v>
      </c>
      <c r="D169" s="217" t="s">
        <v>965</v>
      </c>
      <c r="E169" s="245" t="s">
        <v>176</v>
      </c>
      <c r="F169" s="246">
        <v>25</v>
      </c>
      <c r="G169" s="246">
        <v>1000</v>
      </c>
      <c r="H169" s="61">
        <v>250</v>
      </c>
      <c r="I169" s="61">
        <v>120</v>
      </c>
      <c r="J169" s="79">
        <v>0</v>
      </c>
      <c r="K169" s="61">
        <v>0</v>
      </c>
      <c r="L169" s="61">
        <v>0</v>
      </c>
      <c r="M169" s="61" t="s">
        <v>1049</v>
      </c>
      <c r="N169" s="248" t="s">
        <v>1064</v>
      </c>
      <c r="O169" s="250"/>
    </row>
    <row r="170" spans="1:15" ht="83.25" customHeight="1" x14ac:dyDescent="0.25">
      <c r="A170" s="948"/>
      <c r="B170" s="30" t="s">
        <v>967</v>
      </c>
      <c r="C170" s="222" t="s">
        <v>968</v>
      </c>
      <c r="D170" s="222" t="s">
        <v>969</v>
      </c>
      <c r="E170" s="245" t="s">
        <v>176</v>
      </c>
      <c r="F170" s="61">
        <v>25</v>
      </c>
      <c r="G170" s="61">
        <v>100</v>
      </c>
      <c r="H170" s="61">
        <v>20</v>
      </c>
      <c r="I170" s="61">
        <v>12</v>
      </c>
      <c r="J170" s="79">
        <f t="shared" ref="J170:J172" si="19">I170/H170</f>
        <v>0.6</v>
      </c>
      <c r="K170" s="61">
        <v>0</v>
      </c>
      <c r="L170" s="61">
        <v>0</v>
      </c>
      <c r="M170" s="61" t="e">
        <f t="shared" ref="M170:M172" si="20">L170/K170</f>
        <v>#DIV/0!</v>
      </c>
      <c r="N170" s="222" t="s">
        <v>1065</v>
      </c>
      <c r="O170" s="250"/>
    </row>
    <row r="171" spans="1:15" ht="83.25" customHeight="1" x14ac:dyDescent="0.25">
      <c r="A171" s="948"/>
      <c r="B171" s="30" t="s">
        <v>971</v>
      </c>
      <c r="C171" s="222" t="s">
        <v>972</v>
      </c>
      <c r="D171" s="222" t="s">
        <v>973</v>
      </c>
      <c r="E171" s="245" t="s">
        <v>176</v>
      </c>
      <c r="F171" s="61">
        <v>25</v>
      </c>
      <c r="G171" s="61">
        <v>9</v>
      </c>
      <c r="H171" s="61">
        <v>3.3</v>
      </c>
      <c r="I171" s="61">
        <v>1.2</v>
      </c>
      <c r="J171" s="79">
        <f t="shared" si="19"/>
        <v>0.36363636363636365</v>
      </c>
      <c r="K171" s="61">
        <v>0</v>
      </c>
      <c r="L171" s="61">
        <v>0</v>
      </c>
      <c r="M171" s="61" t="e">
        <f t="shared" si="20"/>
        <v>#DIV/0!</v>
      </c>
      <c r="N171" s="222" t="s">
        <v>1066</v>
      </c>
      <c r="O171" s="250"/>
    </row>
    <row r="172" spans="1:15" ht="83.25" customHeight="1" x14ac:dyDescent="0.25">
      <c r="A172" s="953"/>
      <c r="B172" s="226" t="s">
        <v>999</v>
      </c>
      <c r="C172" s="227" t="s">
        <v>976</v>
      </c>
      <c r="D172" s="227" t="s">
        <v>977</v>
      </c>
      <c r="E172" s="245" t="s">
        <v>176</v>
      </c>
      <c r="F172" s="245">
        <v>25</v>
      </c>
      <c r="G172" s="245">
        <v>1</v>
      </c>
      <c r="H172" s="61">
        <v>0.1</v>
      </c>
      <c r="I172" s="61">
        <v>7.0999999999999994E-2</v>
      </c>
      <c r="J172" s="79">
        <f t="shared" si="19"/>
        <v>0.70999999999999985</v>
      </c>
      <c r="K172" s="61">
        <v>0</v>
      </c>
      <c r="L172" s="61">
        <v>0</v>
      </c>
      <c r="M172" s="61" t="e">
        <f t="shared" si="20"/>
        <v>#DIV/0!</v>
      </c>
      <c r="N172" s="225" t="s">
        <v>1067</v>
      </c>
      <c r="O172" s="250"/>
    </row>
    <row r="173" spans="1:15" ht="83.25" customHeight="1" x14ac:dyDescent="0.25">
      <c r="A173" s="952" t="s">
        <v>931</v>
      </c>
      <c r="B173" s="216" t="s">
        <v>963</v>
      </c>
      <c r="C173" s="217" t="s">
        <v>964</v>
      </c>
      <c r="D173" s="217" t="s">
        <v>965</v>
      </c>
      <c r="E173" s="245" t="s">
        <v>176</v>
      </c>
      <c r="F173" s="246">
        <v>25</v>
      </c>
      <c r="G173" s="246">
        <v>1000</v>
      </c>
      <c r="H173" s="61">
        <v>250</v>
      </c>
      <c r="I173" s="61">
        <v>144</v>
      </c>
      <c r="J173" s="79">
        <v>0</v>
      </c>
      <c r="K173" s="61">
        <v>0</v>
      </c>
      <c r="L173" s="61">
        <v>0</v>
      </c>
      <c r="M173" s="61" t="s">
        <v>1049</v>
      </c>
      <c r="N173" s="248" t="s">
        <v>1068</v>
      </c>
      <c r="O173" s="250"/>
    </row>
    <row r="174" spans="1:15" ht="83.25" customHeight="1" x14ac:dyDescent="0.25">
      <c r="A174" s="948"/>
      <c r="B174" s="30" t="s">
        <v>967</v>
      </c>
      <c r="C174" s="222" t="s">
        <v>968</v>
      </c>
      <c r="D174" s="222" t="s">
        <v>969</v>
      </c>
      <c r="E174" s="245" t="s">
        <v>176</v>
      </c>
      <c r="F174" s="61">
        <v>25</v>
      </c>
      <c r="G174" s="61">
        <v>100</v>
      </c>
      <c r="H174" s="61">
        <v>20</v>
      </c>
      <c r="I174" s="61">
        <v>14</v>
      </c>
      <c r="J174" s="79">
        <f t="shared" ref="J174:J192" si="21">I174/H174</f>
        <v>0.7</v>
      </c>
      <c r="K174" s="61">
        <v>0</v>
      </c>
      <c r="L174" s="61">
        <v>0</v>
      </c>
      <c r="M174" s="61" t="e">
        <f t="shared" ref="M174:M176" si="22">L174/K174</f>
        <v>#DIV/0!</v>
      </c>
      <c r="N174" s="222" t="s">
        <v>1069</v>
      </c>
      <c r="O174" s="250"/>
    </row>
    <row r="175" spans="1:15" ht="83.25" customHeight="1" x14ac:dyDescent="0.25">
      <c r="A175" s="948"/>
      <c r="B175" s="30" t="s">
        <v>971</v>
      </c>
      <c r="C175" s="222" t="s">
        <v>972</v>
      </c>
      <c r="D175" s="222" t="s">
        <v>973</v>
      </c>
      <c r="E175" s="245" t="s">
        <v>176</v>
      </c>
      <c r="F175" s="61">
        <v>25</v>
      </c>
      <c r="G175" s="61">
        <v>9</v>
      </c>
      <c r="H175" s="61">
        <v>3.3</v>
      </c>
      <c r="I175" s="61">
        <v>1.43</v>
      </c>
      <c r="J175" s="79">
        <f t="shared" si="21"/>
        <v>0.43333333333333335</v>
      </c>
      <c r="K175" s="61">
        <v>0</v>
      </c>
      <c r="L175" s="61">
        <v>0</v>
      </c>
      <c r="M175" s="61" t="e">
        <f t="shared" si="22"/>
        <v>#DIV/0!</v>
      </c>
      <c r="N175" s="222" t="s">
        <v>1070</v>
      </c>
      <c r="O175" s="250"/>
    </row>
    <row r="176" spans="1:15" ht="83.25" customHeight="1" x14ac:dyDescent="0.25">
      <c r="A176" s="953"/>
      <c r="B176" s="226" t="s">
        <v>999</v>
      </c>
      <c r="C176" s="227" t="s">
        <v>976</v>
      </c>
      <c r="D176" s="227" t="s">
        <v>977</v>
      </c>
      <c r="E176" s="245" t="s">
        <v>176</v>
      </c>
      <c r="F176" s="245">
        <v>25</v>
      </c>
      <c r="G176" s="245">
        <v>1</v>
      </c>
      <c r="H176" s="61">
        <v>0.1</v>
      </c>
      <c r="I176" s="61">
        <v>8.4000000000000005E-2</v>
      </c>
      <c r="J176" s="79">
        <f t="shared" si="21"/>
        <v>0.84</v>
      </c>
      <c r="K176" s="61">
        <v>0</v>
      </c>
      <c r="L176" s="61">
        <v>0</v>
      </c>
      <c r="M176" s="61" t="e">
        <f t="shared" si="22"/>
        <v>#DIV/0!</v>
      </c>
      <c r="N176" s="225" t="s">
        <v>1071</v>
      </c>
      <c r="O176" s="250"/>
    </row>
    <row r="177" spans="1:15" ht="15.75" customHeight="1" x14ac:dyDescent="0.25">
      <c r="A177" s="952" t="s">
        <v>933</v>
      </c>
      <c r="B177" s="216" t="s">
        <v>963</v>
      </c>
      <c r="C177" s="217" t="s">
        <v>964</v>
      </c>
      <c r="D177" s="217" t="s">
        <v>965</v>
      </c>
      <c r="E177" s="245" t="s">
        <v>176</v>
      </c>
      <c r="F177" s="246">
        <v>25</v>
      </c>
      <c r="G177" s="246">
        <v>1000</v>
      </c>
      <c r="H177" s="61">
        <v>250</v>
      </c>
      <c r="I177" s="61">
        <v>192</v>
      </c>
      <c r="J177" s="79">
        <f t="shared" si="21"/>
        <v>0.76800000000000002</v>
      </c>
      <c r="K177" s="61">
        <v>0</v>
      </c>
      <c r="L177" s="61">
        <v>0</v>
      </c>
      <c r="M177" s="61" t="s">
        <v>1049</v>
      </c>
      <c r="N177" s="248" t="s">
        <v>1072</v>
      </c>
      <c r="O177" s="250"/>
    </row>
    <row r="178" spans="1:15" ht="15.75" customHeight="1" x14ac:dyDescent="0.25">
      <c r="A178" s="948"/>
      <c r="B178" s="30" t="s">
        <v>967</v>
      </c>
      <c r="C178" s="222" t="s">
        <v>968</v>
      </c>
      <c r="D178" s="222" t="s">
        <v>969</v>
      </c>
      <c r="E178" s="245" t="s">
        <v>176</v>
      </c>
      <c r="F178" s="61">
        <v>25</v>
      </c>
      <c r="G178" s="61">
        <v>100</v>
      </c>
      <c r="H178" s="61">
        <v>20</v>
      </c>
      <c r="I178" s="61">
        <v>17</v>
      </c>
      <c r="J178" s="79">
        <f t="shared" si="21"/>
        <v>0.85</v>
      </c>
      <c r="K178" s="61">
        <v>0</v>
      </c>
      <c r="L178" s="61">
        <v>0</v>
      </c>
      <c r="M178" s="61" t="e">
        <f t="shared" ref="M178:M180" si="23">L178/K178</f>
        <v>#DIV/0!</v>
      </c>
      <c r="N178" s="222" t="s">
        <v>1073</v>
      </c>
      <c r="O178" s="250"/>
    </row>
    <row r="179" spans="1:15" ht="15.75" customHeight="1" x14ac:dyDescent="0.25">
      <c r="A179" s="948"/>
      <c r="B179" s="30" t="s">
        <v>971</v>
      </c>
      <c r="C179" s="222" t="s">
        <v>972</v>
      </c>
      <c r="D179" s="222" t="s">
        <v>973</v>
      </c>
      <c r="E179" s="245" t="s">
        <v>176</v>
      </c>
      <c r="F179" s="61">
        <v>25</v>
      </c>
      <c r="G179" s="61">
        <v>9</v>
      </c>
      <c r="H179" s="61">
        <v>3.3</v>
      </c>
      <c r="I179" s="61">
        <v>1.925</v>
      </c>
      <c r="J179" s="79">
        <f t="shared" si="21"/>
        <v>0.58333333333333337</v>
      </c>
      <c r="K179" s="61">
        <v>0</v>
      </c>
      <c r="L179" s="61">
        <v>0</v>
      </c>
      <c r="M179" s="61" t="e">
        <f t="shared" si="23"/>
        <v>#DIV/0!</v>
      </c>
      <c r="N179" s="222" t="s">
        <v>1074</v>
      </c>
      <c r="O179" s="250"/>
    </row>
    <row r="180" spans="1:15" ht="15.75" customHeight="1" x14ac:dyDescent="0.25">
      <c r="A180" s="953"/>
      <c r="B180" s="226" t="s">
        <v>999</v>
      </c>
      <c r="C180" s="227" t="s">
        <v>976</v>
      </c>
      <c r="D180" s="227" t="s">
        <v>977</v>
      </c>
      <c r="E180" s="245" t="s">
        <v>176</v>
      </c>
      <c r="F180" s="245">
        <v>25</v>
      </c>
      <c r="G180" s="245">
        <v>1</v>
      </c>
      <c r="H180" s="61">
        <v>0.15</v>
      </c>
      <c r="I180" s="61">
        <v>0.112</v>
      </c>
      <c r="J180" s="79">
        <f t="shared" si="21"/>
        <v>0.7466666666666667</v>
      </c>
      <c r="K180" s="61">
        <v>0</v>
      </c>
      <c r="L180" s="61">
        <v>0</v>
      </c>
      <c r="M180" s="61" t="e">
        <f t="shared" si="23"/>
        <v>#DIV/0!</v>
      </c>
      <c r="N180" s="225" t="s">
        <v>1075</v>
      </c>
      <c r="O180" s="250"/>
    </row>
    <row r="181" spans="1:15" ht="15.75" customHeight="1" x14ac:dyDescent="0.25">
      <c r="A181" s="952" t="s">
        <v>934</v>
      </c>
      <c r="B181" s="216" t="s">
        <v>963</v>
      </c>
      <c r="C181" s="217" t="s">
        <v>964</v>
      </c>
      <c r="D181" s="217" t="s">
        <v>965</v>
      </c>
      <c r="E181" s="245" t="s">
        <v>176</v>
      </c>
      <c r="F181" s="246">
        <v>25</v>
      </c>
      <c r="G181" s="246">
        <v>1000</v>
      </c>
      <c r="H181" s="61">
        <v>250</v>
      </c>
      <c r="I181" s="61">
        <v>216</v>
      </c>
      <c r="J181" s="79">
        <f t="shared" si="21"/>
        <v>0.86399999999999999</v>
      </c>
      <c r="K181" s="61">
        <v>0</v>
      </c>
      <c r="L181" s="61">
        <v>0</v>
      </c>
      <c r="M181" s="61" t="s">
        <v>1049</v>
      </c>
      <c r="N181" s="248" t="s">
        <v>1076</v>
      </c>
      <c r="O181" s="250"/>
    </row>
    <row r="182" spans="1:15" ht="15.75" customHeight="1" x14ac:dyDescent="0.25">
      <c r="A182" s="948"/>
      <c r="B182" s="30" t="s">
        <v>967</v>
      </c>
      <c r="C182" s="222" t="s">
        <v>968</v>
      </c>
      <c r="D182" s="222" t="s">
        <v>969</v>
      </c>
      <c r="E182" s="245" t="s">
        <v>176</v>
      </c>
      <c r="F182" s="61">
        <v>25</v>
      </c>
      <c r="G182" s="61">
        <v>100</v>
      </c>
      <c r="H182" s="61">
        <v>20</v>
      </c>
      <c r="I182" s="61">
        <v>18</v>
      </c>
      <c r="J182" s="79">
        <f t="shared" si="21"/>
        <v>0.9</v>
      </c>
      <c r="K182" s="61">
        <v>0</v>
      </c>
      <c r="L182" s="61">
        <v>0</v>
      </c>
      <c r="M182" s="61" t="e">
        <f t="shared" ref="M182:M184" si="24">L182/K182</f>
        <v>#DIV/0!</v>
      </c>
      <c r="N182" s="222" t="s">
        <v>1077</v>
      </c>
      <c r="O182" s="250"/>
    </row>
    <row r="183" spans="1:15" ht="15.75" customHeight="1" x14ac:dyDescent="0.25">
      <c r="A183" s="948"/>
      <c r="B183" s="30" t="s">
        <v>971</v>
      </c>
      <c r="C183" s="222" t="s">
        <v>972</v>
      </c>
      <c r="D183" s="222" t="s">
        <v>973</v>
      </c>
      <c r="E183" s="245" t="s">
        <v>176</v>
      </c>
      <c r="F183" s="61">
        <v>25</v>
      </c>
      <c r="G183" s="61">
        <v>9</v>
      </c>
      <c r="H183" s="61">
        <v>3.3</v>
      </c>
      <c r="I183" s="61">
        <v>2.1749999999999998</v>
      </c>
      <c r="J183" s="79">
        <f t="shared" si="21"/>
        <v>0.65909090909090906</v>
      </c>
      <c r="K183" s="61">
        <v>0</v>
      </c>
      <c r="L183" s="61">
        <v>0</v>
      </c>
      <c r="M183" s="61" t="e">
        <f t="shared" si="24"/>
        <v>#DIV/0!</v>
      </c>
      <c r="N183" s="222" t="s">
        <v>1078</v>
      </c>
      <c r="O183" s="250"/>
    </row>
    <row r="184" spans="1:15" ht="15.75" customHeight="1" x14ac:dyDescent="0.25">
      <c r="A184" s="953"/>
      <c r="B184" s="226" t="s">
        <v>999</v>
      </c>
      <c r="C184" s="227" t="s">
        <v>976</v>
      </c>
      <c r="D184" s="227" t="s">
        <v>977</v>
      </c>
      <c r="E184" s="245" t="s">
        <v>176</v>
      </c>
      <c r="F184" s="245">
        <v>25</v>
      </c>
      <c r="G184" s="245">
        <v>1</v>
      </c>
      <c r="H184" s="61">
        <v>0.15</v>
      </c>
      <c r="I184" s="61">
        <v>0.127</v>
      </c>
      <c r="J184" s="79">
        <f t="shared" si="21"/>
        <v>0.84666666666666668</v>
      </c>
      <c r="K184" s="61">
        <v>0</v>
      </c>
      <c r="L184" s="61">
        <v>0</v>
      </c>
      <c r="M184" s="61" t="e">
        <f t="shared" si="24"/>
        <v>#DIV/0!</v>
      </c>
      <c r="N184" s="225" t="s">
        <v>1075</v>
      </c>
      <c r="O184" s="250"/>
    </row>
    <row r="185" spans="1:15" ht="15.75" customHeight="1" x14ac:dyDescent="0.25">
      <c r="A185" s="952" t="s">
        <v>936</v>
      </c>
      <c r="B185" s="216" t="s">
        <v>963</v>
      </c>
      <c r="C185" s="217" t="s">
        <v>964</v>
      </c>
      <c r="D185" s="217" t="s">
        <v>965</v>
      </c>
      <c r="E185" s="245" t="s">
        <v>176</v>
      </c>
      <c r="F185" s="246">
        <v>25</v>
      </c>
      <c r="G185" s="246">
        <v>1000</v>
      </c>
      <c r="H185" s="61">
        <v>250</v>
      </c>
      <c r="I185" s="61">
        <v>239</v>
      </c>
      <c r="J185" s="79">
        <f t="shared" si="21"/>
        <v>0.95599999999999996</v>
      </c>
      <c r="K185" s="61">
        <v>0</v>
      </c>
      <c r="L185" s="61">
        <v>0</v>
      </c>
      <c r="M185" s="61" t="s">
        <v>1049</v>
      </c>
      <c r="N185" s="248" t="s">
        <v>1079</v>
      </c>
      <c r="O185" s="250"/>
    </row>
    <row r="186" spans="1:15" ht="15.75" customHeight="1" x14ac:dyDescent="0.25">
      <c r="A186" s="948"/>
      <c r="B186" s="30" t="s">
        <v>967</v>
      </c>
      <c r="C186" s="222" t="s">
        <v>968</v>
      </c>
      <c r="D186" s="222" t="s">
        <v>969</v>
      </c>
      <c r="E186" s="245" t="s">
        <v>176</v>
      </c>
      <c r="F186" s="61">
        <v>25</v>
      </c>
      <c r="G186" s="61">
        <v>100</v>
      </c>
      <c r="H186" s="61">
        <v>20</v>
      </c>
      <c r="I186" s="61">
        <v>19</v>
      </c>
      <c r="J186" s="79">
        <f t="shared" si="21"/>
        <v>0.95</v>
      </c>
      <c r="K186" s="61">
        <v>0</v>
      </c>
      <c r="L186" s="61">
        <v>0</v>
      </c>
      <c r="M186" s="61" t="e">
        <f t="shared" ref="M186:M188" si="25">L186/K186</f>
        <v>#DIV/0!</v>
      </c>
      <c r="N186" s="222" t="s">
        <v>1080</v>
      </c>
      <c r="O186" s="250"/>
    </row>
    <row r="187" spans="1:15" ht="15.75" customHeight="1" x14ac:dyDescent="0.25">
      <c r="A187" s="948"/>
      <c r="B187" s="30" t="s">
        <v>971</v>
      </c>
      <c r="C187" s="222" t="s">
        <v>972</v>
      </c>
      <c r="D187" s="222" t="s">
        <v>973</v>
      </c>
      <c r="E187" s="245" t="s">
        <v>176</v>
      </c>
      <c r="F187" s="61">
        <v>25</v>
      </c>
      <c r="G187" s="61">
        <v>9</v>
      </c>
      <c r="H187" s="61">
        <v>3.3</v>
      </c>
      <c r="I187" s="61">
        <v>2.4249999999999998</v>
      </c>
      <c r="J187" s="79">
        <f t="shared" si="21"/>
        <v>0.73484848484848486</v>
      </c>
      <c r="K187" s="61">
        <v>0</v>
      </c>
      <c r="L187" s="61">
        <v>0</v>
      </c>
      <c r="M187" s="61" t="e">
        <f t="shared" si="25"/>
        <v>#DIV/0!</v>
      </c>
      <c r="N187" s="222" t="s">
        <v>1081</v>
      </c>
      <c r="O187" s="250"/>
    </row>
    <row r="188" spans="1:15" ht="15.75" customHeight="1" x14ac:dyDescent="0.25">
      <c r="A188" s="953"/>
      <c r="B188" s="226" t="s">
        <v>999</v>
      </c>
      <c r="C188" s="227" t="s">
        <v>976</v>
      </c>
      <c r="D188" s="227" t="s">
        <v>977</v>
      </c>
      <c r="E188" s="245" t="s">
        <v>176</v>
      </c>
      <c r="F188" s="245">
        <v>25</v>
      </c>
      <c r="G188" s="245">
        <v>1</v>
      </c>
      <c r="H188" s="61">
        <v>0.15</v>
      </c>
      <c r="I188" s="61">
        <v>0.14000000000000001</v>
      </c>
      <c r="J188" s="79">
        <f t="shared" si="21"/>
        <v>0.93333333333333346</v>
      </c>
      <c r="K188" s="61">
        <v>0</v>
      </c>
      <c r="L188" s="61">
        <v>0</v>
      </c>
      <c r="M188" s="61" t="e">
        <f t="shared" si="25"/>
        <v>#DIV/0!</v>
      </c>
      <c r="N188" s="225" t="s">
        <v>1082</v>
      </c>
      <c r="O188" s="250"/>
    </row>
    <row r="189" spans="1:15" ht="15.75" customHeight="1" x14ac:dyDescent="0.25">
      <c r="A189" s="952" t="s">
        <v>937</v>
      </c>
      <c r="B189" s="216" t="s">
        <v>963</v>
      </c>
      <c r="C189" s="217" t="s">
        <v>964</v>
      </c>
      <c r="D189" s="217" t="s">
        <v>965</v>
      </c>
      <c r="E189" s="245" t="s">
        <v>176</v>
      </c>
      <c r="F189" s="246">
        <v>25</v>
      </c>
      <c r="G189" s="246">
        <v>1000</v>
      </c>
      <c r="H189" s="61">
        <v>250</v>
      </c>
      <c r="I189" s="61">
        <v>259</v>
      </c>
      <c r="J189" s="79">
        <f t="shared" si="21"/>
        <v>1.036</v>
      </c>
      <c r="K189" s="61">
        <v>0</v>
      </c>
      <c r="L189" s="61">
        <v>0</v>
      </c>
      <c r="M189" s="61" t="s">
        <v>1049</v>
      </c>
      <c r="N189" s="248" t="s">
        <v>1083</v>
      </c>
      <c r="O189" s="250"/>
    </row>
    <row r="190" spans="1:15" ht="15.75" customHeight="1" x14ac:dyDescent="0.25">
      <c r="A190" s="948"/>
      <c r="B190" s="30" t="s">
        <v>967</v>
      </c>
      <c r="C190" s="222" t="s">
        <v>968</v>
      </c>
      <c r="D190" s="222" t="s">
        <v>969</v>
      </c>
      <c r="E190" s="245" t="s">
        <v>176</v>
      </c>
      <c r="F190" s="61">
        <v>25</v>
      </c>
      <c r="G190" s="61">
        <v>100</v>
      </c>
      <c r="H190" s="61">
        <v>20</v>
      </c>
      <c r="I190" s="61">
        <v>20</v>
      </c>
      <c r="J190" s="79">
        <f t="shared" si="21"/>
        <v>1</v>
      </c>
      <c r="K190" s="61">
        <v>0</v>
      </c>
      <c r="L190" s="61">
        <v>0</v>
      </c>
      <c r="M190" s="61" t="e">
        <f t="shared" ref="M190:M192" si="26">L190/K190</f>
        <v>#DIV/0!</v>
      </c>
      <c r="N190" s="222" t="s">
        <v>1084</v>
      </c>
      <c r="O190" s="250"/>
    </row>
    <row r="191" spans="1:15" ht="15.75" customHeight="1" x14ac:dyDescent="0.25">
      <c r="A191" s="948"/>
      <c r="B191" s="30" t="s">
        <v>971</v>
      </c>
      <c r="C191" s="222" t="s">
        <v>972</v>
      </c>
      <c r="D191" s="222" t="s">
        <v>973</v>
      </c>
      <c r="E191" s="245" t="s">
        <v>176</v>
      </c>
      <c r="F191" s="61">
        <v>25</v>
      </c>
      <c r="G191" s="61">
        <v>9</v>
      </c>
      <c r="H191" s="61">
        <v>3.3</v>
      </c>
      <c r="I191" s="61">
        <v>3.3</v>
      </c>
      <c r="J191" s="79">
        <f t="shared" si="21"/>
        <v>1</v>
      </c>
      <c r="K191" s="61">
        <v>0</v>
      </c>
      <c r="L191" s="61">
        <v>0</v>
      </c>
      <c r="M191" s="61" t="e">
        <f t="shared" si="26"/>
        <v>#DIV/0!</v>
      </c>
      <c r="N191" s="251" t="s">
        <v>1085</v>
      </c>
      <c r="O191" s="250"/>
    </row>
    <row r="192" spans="1:15" ht="15.75" customHeight="1" x14ac:dyDescent="0.25">
      <c r="A192" s="953"/>
      <c r="B192" s="226" t="s">
        <v>999</v>
      </c>
      <c r="C192" s="227" t="s">
        <v>976</v>
      </c>
      <c r="D192" s="227" t="s">
        <v>977</v>
      </c>
      <c r="E192" s="245" t="s">
        <v>176</v>
      </c>
      <c r="F192" s="245">
        <v>25</v>
      </c>
      <c r="G192" s="245">
        <v>1</v>
      </c>
      <c r="H192" s="61">
        <v>0.15</v>
      </c>
      <c r="I192" s="61">
        <v>0.15</v>
      </c>
      <c r="J192" s="79">
        <f t="shared" si="21"/>
        <v>1</v>
      </c>
      <c r="K192" s="61">
        <v>0</v>
      </c>
      <c r="L192" s="61">
        <v>0</v>
      </c>
      <c r="M192" s="61" t="e">
        <f t="shared" si="26"/>
        <v>#DIV/0!</v>
      </c>
      <c r="N192" s="225" t="s">
        <v>1082</v>
      </c>
      <c r="O192" s="250"/>
    </row>
    <row r="193" spans="1:16" ht="15.75" customHeight="1" x14ac:dyDescent="0.25">
      <c r="B193" s="161"/>
      <c r="C193" s="162"/>
      <c r="D193" s="162"/>
      <c r="J193" s="125"/>
      <c r="N193" s="162"/>
    </row>
    <row r="194" spans="1:16" ht="15.75" customHeight="1" x14ac:dyDescent="0.25">
      <c r="A194" s="946" t="s">
        <v>1086</v>
      </c>
      <c r="B194" s="679"/>
      <c r="C194" s="679"/>
      <c r="D194" s="679"/>
      <c r="E194" s="679"/>
      <c r="F194" s="679"/>
      <c r="G194" s="679"/>
      <c r="H194" s="679"/>
      <c r="I194" s="679"/>
      <c r="J194" s="679"/>
      <c r="K194" s="679"/>
      <c r="L194" s="679"/>
      <c r="M194" s="679"/>
      <c r="N194" s="721"/>
    </row>
    <row r="195" spans="1:16" ht="44.25" customHeight="1" x14ac:dyDescent="0.25">
      <c r="A195" s="163" t="s">
        <v>27</v>
      </c>
      <c r="B195" s="164" t="s">
        <v>950</v>
      </c>
      <c r="C195" s="164" t="s">
        <v>951</v>
      </c>
      <c r="D195" s="164" t="s">
        <v>952</v>
      </c>
      <c r="E195" s="164" t="s">
        <v>953</v>
      </c>
      <c r="F195" s="164" t="s">
        <v>1087</v>
      </c>
      <c r="G195" s="164" t="s">
        <v>955</v>
      </c>
      <c r="H195" s="164" t="s">
        <v>1088</v>
      </c>
      <c r="I195" s="164" t="s">
        <v>1089</v>
      </c>
      <c r="J195" s="207" t="s">
        <v>1090</v>
      </c>
      <c r="K195" s="164" t="s">
        <v>959</v>
      </c>
      <c r="L195" s="164" t="s">
        <v>960</v>
      </c>
      <c r="M195" s="164" t="s">
        <v>961</v>
      </c>
      <c r="N195" s="165" t="s">
        <v>962</v>
      </c>
    </row>
    <row r="196" spans="1:16" ht="92.25" customHeight="1" x14ac:dyDescent="0.25">
      <c r="A196" s="961" t="s">
        <v>939</v>
      </c>
      <c r="B196" s="216" t="s">
        <v>963</v>
      </c>
      <c r="C196" s="217" t="s">
        <v>964</v>
      </c>
      <c r="D196" s="217" t="s">
        <v>965</v>
      </c>
      <c r="E196" s="245" t="s">
        <v>176</v>
      </c>
      <c r="F196" s="246">
        <v>25</v>
      </c>
      <c r="G196" s="246">
        <v>1000</v>
      </c>
      <c r="H196" s="158">
        <v>330</v>
      </c>
      <c r="I196" s="158">
        <v>5</v>
      </c>
      <c r="J196" s="208">
        <f t="shared" ref="J196:J243" si="27">I196/H196</f>
        <v>1.5151515151515152E-2</v>
      </c>
      <c r="K196" s="158"/>
      <c r="L196" s="158"/>
      <c r="M196" s="158" t="e">
        <f t="shared" ref="M196:M243" si="28">L196/K196</f>
        <v>#DIV/0!</v>
      </c>
      <c r="N196" s="209" t="s">
        <v>1091</v>
      </c>
    </row>
    <row r="197" spans="1:16" ht="92.25" customHeight="1" x14ac:dyDescent="0.25">
      <c r="A197" s="951"/>
      <c r="B197" s="30" t="s">
        <v>967</v>
      </c>
      <c r="C197" s="222" t="s">
        <v>968</v>
      </c>
      <c r="D197" s="222" t="s">
        <v>969</v>
      </c>
      <c r="E197" s="245" t="s">
        <v>176</v>
      </c>
      <c r="F197" s="61">
        <v>25</v>
      </c>
      <c r="G197" s="61">
        <v>100</v>
      </c>
      <c r="H197" s="158">
        <v>34</v>
      </c>
      <c r="I197" s="158">
        <v>0</v>
      </c>
      <c r="J197" s="208">
        <f t="shared" si="27"/>
        <v>0</v>
      </c>
      <c r="K197" s="158"/>
      <c r="L197" s="158"/>
      <c r="M197" s="158" t="e">
        <f t="shared" si="28"/>
        <v>#DIV/0!</v>
      </c>
      <c r="N197" s="209" t="s">
        <v>1092</v>
      </c>
    </row>
    <row r="198" spans="1:16" ht="92.25" customHeight="1" x14ac:dyDescent="0.25">
      <c r="A198" s="951"/>
      <c r="B198" s="30" t="s">
        <v>971</v>
      </c>
      <c r="C198" s="222" t="s">
        <v>972</v>
      </c>
      <c r="D198" s="222" t="s">
        <v>973</v>
      </c>
      <c r="E198" s="245" t="s">
        <v>176</v>
      </c>
      <c r="F198" s="61">
        <v>25</v>
      </c>
      <c r="G198" s="61">
        <v>9</v>
      </c>
      <c r="H198" s="158">
        <v>3.3</v>
      </c>
      <c r="I198" s="158">
        <v>0</v>
      </c>
      <c r="J198" s="208">
        <f t="shared" si="27"/>
        <v>0</v>
      </c>
      <c r="K198" s="158"/>
      <c r="L198" s="158"/>
      <c r="M198" s="158" t="e">
        <f t="shared" si="28"/>
        <v>#DIV/0!</v>
      </c>
      <c r="N198" s="209" t="s">
        <v>1093</v>
      </c>
    </row>
    <row r="199" spans="1:16" ht="92.25" customHeight="1" x14ac:dyDescent="0.25">
      <c r="A199" s="962"/>
      <c r="B199" s="226" t="s">
        <v>999</v>
      </c>
      <c r="C199" s="227" t="s">
        <v>976</v>
      </c>
      <c r="D199" s="227" t="s">
        <v>977</v>
      </c>
      <c r="E199" s="245" t="s">
        <v>176</v>
      </c>
      <c r="F199" s="245">
        <v>25</v>
      </c>
      <c r="G199" s="245">
        <v>1</v>
      </c>
      <c r="H199" s="158">
        <v>0.15</v>
      </c>
      <c r="I199" s="158">
        <v>0.01</v>
      </c>
      <c r="J199" s="208">
        <f t="shared" si="27"/>
        <v>6.6666666666666666E-2</v>
      </c>
      <c r="K199" s="158"/>
      <c r="L199" s="158"/>
      <c r="M199" s="158" t="e">
        <f t="shared" si="28"/>
        <v>#DIV/0!</v>
      </c>
      <c r="N199" s="209" t="s">
        <v>1094</v>
      </c>
    </row>
    <row r="200" spans="1:16" ht="92.25" customHeight="1" x14ac:dyDescent="0.25">
      <c r="A200" s="961" t="s">
        <v>940</v>
      </c>
      <c r="B200" s="216" t="s">
        <v>963</v>
      </c>
      <c r="C200" s="217" t="s">
        <v>964</v>
      </c>
      <c r="D200" s="217" t="s">
        <v>965</v>
      </c>
      <c r="E200" s="245" t="s">
        <v>176</v>
      </c>
      <c r="F200" s="246">
        <v>25</v>
      </c>
      <c r="G200" s="246">
        <v>1000</v>
      </c>
      <c r="H200" s="158">
        <v>330</v>
      </c>
      <c r="I200" s="158">
        <v>35</v>
      </c>
      <c r="J200" s="208">
        <f t="shared" si="27"/>
        <v>0.10606060606060606</v>
      </c>
      <c r="K200" s="158"/>
      <c r="L200" s="158"/>
      <c r="M200" s="158" t="e">
        <f t="shared" si="28"/>
        <v>#DIV/0!</v>
      </c>
      <c r="N200" s="209" t="s">
        <v>1095</v>
      </c>
    </row>
    <row r="201" spans="1:16" ht="92.25" customHeight="1" x14ac:dyDescent="0.25">
      <c r="A201" s="951"/>
      <c r="B201" s="30" t="s">
        <v>967</v>
      </c>
      <c r="C201" s="222" t="s">
        <v>968</v>
      </c>
      <c r="D201" s="222" t="s">
        <v>969</v>
      </c>
      <c r="E201" s="245" t="s">
        <v>176</v>
      </c>
      <c r="F201" s="61">
        <v>25</v>
      </c>
      <c r="G201" s="61">
        <v>100</v>
      </c>
      <c r="H201" s="158">
        <v>34</v>
      </c>
      <c r="I201" s="158">
        <v>2</v>
      </c>
      <c r="J201" s="208">
        <f t="shared" si="27"/>
        <v>5.8823529411764705E-2</v>
      </c>
      <c r="K201" s="158"/>
      <c r="L201" s="158"/>
      <c r="M201" s="158" t="e">
        <f t="shared" si="28"/>
        <v>#DIV/0!</v>
      </c>
      <c r="N201" s="209" t="s">
        <v>1096</v>
      </c>
    </row>
    <row r="202" spans="1:16" ht="92.25" customHeight="1" x14ac:dyDescent="0.25">
      <c r="A202" s="951"/>
      <c r="B202" s="30" t="s">
        <v>971</v>
      </c>
      <c r="C202" s="222" t="s">
        <v>972</v>
      </c>
      <c r="D202" s="222" t="s">
        <v>973</v>
      </c>
      <c r="E202" s="245" t="s">
        <v>176</v>
      </c>
      <c r="F202" s="61">
        <v>25</v>
      </c>
      <c r="G202" s="61">
        <v>9</v>
      </c>
      <c r="H202" s="158">
        <v>3.3</v>
      </c>
      <c r="I202" s="158">
        <v>4.62</v>
      </c>
      <c r="J202" s="208">
        <f t="shared" si="27"/>
        <v>1.4000000000000001</v>
      </c>
      <c r="K202" s="158"/>
      <c r="L202" s="158"/>
      <c r="M202" s="158" t="e">
        <f t="shared" si="28"/>
        <v>#DIV/0!</v>
      </c>
      <c r="N202" s="209" t="s">
        <v>1097</v>
      </c>
    </row>
    <row r="203" spans="1:16" ht="92.25" customHeight="1" x14ac:dyDescent="0.25">
      <c r="A203" s="962"/>
      <c r="B203" s="226" t="s">
        <v>999</v>
      </c>
      <c r="C203" s="227" t="s">
        <v>976</v>
      </c>
      <c r="D203" s="227" t="s">
        <v>977</v>
      </c>
      <c r="E203" s="245" t="s">
        <v>176</v>
      </c>
      <c r="F203" s="245">
        <v>25</v>
      </c>
      <c r="G203" s="245">
        <v>1</v>
      </c>
      <c r="H203" s="158">
        <v>0.15</v>
      </c>
      <c r="I203" s="158">
        <v>0.02</v>
      </c>
      <c r="J203" s="208">
        <f t="shared" si="27"/>
        <v>0.13333333333333333</v>
      </c>
      <c r="K203" s="158"/>
      <c r="L203" s="158"/>
      <c r="M203" s="158" t="e">
        <f t="shared" si="28"/>
        <v>#DIV/0!</v>
      </c>
      <c r="N203" s="209" t="s">
        <v>1098</v>
      </c>
    </row>
    <row r="204" spans="1:16" ht="92.25" customHeight="1" x14ac:dyDescent="0.25">
      <c r="A204" s="961" t="s">
        <v>941</v>
      </c>
      <c r="B204" s="216" t="s">
        <v>963</v>
      </c>
      <c r="C204" s="217" t="s">
        <v>964</v>
      </c>
      <c r="D204" s="217" t="s">
        <v>965</v>
      </c>
      <c r="E204" s="245" t="s">
        <v>176</v>
      </c>
      <c r="F204" s="246">
        <v>25</v>
      </c>
      <c r="G204" s="246">
        <v>1000</v>
      </c>
      <c r="H204" s="158">
        <v>330</v>
      </c>
      <c r="I204" s="158">
        <v>66</v>
      </c>
      <c r="J204" s="208">
        <f t="shared" si="27"/>
        <v>0.2</v>
      </c>
      <c r="K204" s="158"/>
      <c r="L204" s="158"/>
      <c r="M204" s="158" t="e">
        <f t="shared" si="28"/>
        <v>#DIV/0!</v>
      </c>
      <c r="N204" s="209" t="s">
        <v>1099</v>
      </c>
    </row>
    <row r="205" spans="1:16" ht="129" customHeight="1" x14ac:dyDescent="0.25">
      <c r="A205" s="951"/>
      <c r="B205" s="30" t="s">
        <v>967</v>
      </c>
      <c r="C205" s="222" t="s">
        <v>968</v>
      </c>
      <c r="D205" s="222" t="s">
        <v>969</v>
      </c>
      <c r="E205" s="245" t="s">
        <v>176</v>
      </c>
      <c r="F205" s="61">
        <v>25</v>
      </c>
      <c r="G205" s="61">
        <v>100</v>
      </c>
      <c r="H205" s="158">
        <v>34</v>
      </c>
      <c r="I205" s="158">
        <v>6</v>
      </c>
      <c r="J205" s="208">
        <f t="shared" si="27"/>
        <v>0.17647058823529413</v>
      </c>
      <c r="K205" s="158"/>
      <c r="L205" s="158"/>
      <c r="M205" s="158" t="e">
        <f t="shared" si="28"/>
        <v>#DIV/0!</v>
      </c>
      <c r="N205" s="209" t="s">
        <v>1100</v>
      </c>
    </row>
    <row r="206" spans="1:16" ht="92.25" customHeight="1" x14ac:dyDescent="0.25">
      <c r="A206" s="951"/>
      <c r="B206" s="30" t="s">
        <v>971</v>
      </c>
      <c r="C206" s="222" t="s">
        <v>972</v>
      </c>
      <c r="D206" s="222" t="s">
        <v>973</v>
      </c>
      <c r="E206" s="245" t="s">
        <v>176</v>
      </c>
      <c r="F206" s="61">
        <v>25</v>
      </c>
      <c r="G206" s="61">
        <v>9</v>
      </c>
      <c r="H206" s="158">
        <v>3.3</v>
      </c>
      <c r="I206" s="158">
        <v>0.75900000000000001</v>
      </c>
      <c r="J206" s="208">
        <f t="shared" si="27"/>
        <v>0.23</v>
      </c>
      <c r="K206" s="158"/>
      <c r="L206" s="158"/>
      <c r="M206" s="158" t="e">
        <f t="shared" si="28"/>
        <v>#DIV/0!</v>
      </c>
      <c r="N206" s="209" t="s">
        <v>1101</v>
      </c>
    </row>
    <row r="207" spans="1:16" ht="92.25" customHeight="1" x14ac:dyDescent="0.25">
      <c r="A207" s="962"/>
      <c r="B207" s="226" t="s">
        <v>999</v>
      </c>
      <c r="C207" s="227" t="s">
        <v>976</v>
      </c>
      <c r="D207" s="227" t="s">
        <v>977</v>
      </c>
      <c r="E207" s="245" t="s">
        <v>176</v>
      </c>
      <c r="F207" s="245">
        <v>25</v>
      </c>
      <c r="G207" s="245">
        <v>1</v>
      </c>
      <c r="H207" s="158">
        <v>0.15</v>
      </c>
      <c r="I207" s="158">
        <v>3.2000000000000001E-2</v>
      </c>
      <c r="J207" s="208">
        <f t="shared" si="27"/>
        <v>0.21333333333333335</v>
      </c>
      <c r="K207" s="158"/>
      <c r="L207" s="158"/>
      <c r="M207" s="158" t="e">
        <f t="shared" si="28"/>
        <v>#DIV/0!</v>
      </c>
      <c r="N207" s="209" t="s">
        <v>1102</v>
      </c>
    </row>
    <row r="208" spans="1:16" ht="92.25" customHeight="1" x14ac:dyDescent="0.25">
      <c r="A208" s="961" t="s">
        <v>942</v>
      </c>
      <c r="B208" s="216" t="s">
        <v>963</v>
      </c>
      <c r="C208" s="217" t="s">
        <v>964</v>
      </c>
      <c r="D208" s="217" t="s">
        <v>965</v>
      </c>
      <c r="E208" s="245" t="s">
        <v>176</v>
      </c>
      <c r="F208" s="246">
        <v>25</v>
      </c>
      <c r="G208" s="246">
        <v>1000</v>
      </c>
      <c r="H208" s="158">
        <v>330</v>
      </c>
      <c r="I208" s="158">
        <v>96</v>
      </c>
      <c r="J208" s="208">
        <f t="shared" si="27"/>
        <v>0.29090909090909089</v>
      </c>
      <c r="K208" s="158"/>
      <c r="L208" s="158"/>
      <c r="M208" s="158" t="e">
        <f t="shared" si="28"/>
        <v>#DIV/0!</v>
      </c>
      <c r="N208" s="209" t="s">
        <v>1103</v>
      </c>
      <c r="P208" s="252"/>
    </row>
    <row r="209" spans="1:34" ht="129" customHeight="1" x14ac:dyDescent="0.25">
      <c r="A209" s="951"/>
      <c r="B209" s="30" t="s">
        <v>967</v>
      </c>
      <c r="C209" s="222" t="s">
        <v>968</v>
      </c>
      <c r="D209" s="222" t="s">
        <v>969</v>
      </c>
      <c r="E209" s="245" t="s">
        <v>176</v>
      </c>
      <c r="F209" s="61">
        <v>25</v>
      </c>
      <c r="G209" s="61">
        <v>100</v>
      </c>
      <c r="H209" s="158">
        <v>34</v>
      </c>
      <c r="I209" s="158">
        <v>10</v>
      </c>
      <c r="J209" s="208">
        <f t="shared" si="27"/>
        <v>0.29411764705882354</v>
      </c>
      <c r="K209" s="158"/>
      <c r="L209" s="158"/>
      <c r="M209" s="158" t="e">
        <f t="shared" si="28"/>
        <v>#DIV/0!</v>
      </c>
      <c r="N209" s="225" t="s">
        <v>1104</v>
      </c>
      <c r="P209" s="252"/>
    </row>
    <row r="210" spans="1:34" ht="92.25" customHeight="1" x14ac:dyDescent="0.25">
      <c r="A210" s="951"/>
      <c r="B210" s="30" t="s">
        <v>971</v>
      </c>
      <c r="C210" s="222" t="s">
        <v>972</v>
      </c>
      <c r="D210" s="222" t="s">
        <v>973</v>
      </c>
      <c r="E210" s="245" t="s">
        <v>176</v>
      </c>
      <c r="F210" s="61">
        <v>25</v>
      </c>
      <c r="G210" s="61">
        <v>9</v>
      </c>
      <c r="H210" s="158">
        <v>3.3</v>
      </c>
      <c r="I210" s="158">
        <v>1.06</v>
      </c>
      <c r="J210" s="208">
        <f t="shared" si="27"/>
        <v>0.32121212121212123</v>
      </c>
      <c r="K210" s="158"/>
      <c r="L210" s="158"/>
      <c r="M210" s="158" t="e">
        <f t="shared" si="28"/>
        <v>#DIV/0!</v>
      </c>
      <c r="N210" s="209" t="s">
        <v>1105</v>
      </c>
      <c r="P210" s="252"/>
    </row>
    <row r="211" spans="1:34" ht="92.25" customHeight="1" x14ac:dyDescent="0.25">
      <c r="A211" s="962"/>
      <c r="B211" s="226" t="s">
        <v>999</v>
      </c>
      <c r="C211" s="227" t="s">
        <v>976</v>
      </c>
      <c r="D211" s="227" t="s">
        <v>977</v>
      </c>
      <c r="E211" s="245" t="s">
        <v>176</v>
      </c>
      <c r="F211" s="245">
        <v>25</v>
      </c>
      <c r="G211" s="245">
        <v>1</v>
      </c>
      <c r="H211" s="158">
        <v>0.15</v>
      </c>
      <c r="I211" s="158">
        <v>4.4999999999999998E-2</v>
      </c>
      <c r="J211" s="208">
        <f t="shared" si="27"/>
        <v>0.3</v>
      </c>
      <c r="K211" s="158"/>
      <c r="L211" s="158"/>
      <c r="M211" s="158" t="e">
        <f t="shared" si="28"/>
        <v>#DIV/0!</v>
      </c>
      <c r="N211" s="209" t="s">
        <v>1106</v>
      </c>
      <c r="P211" s="252"/>
    </row>
    <row r="212" spans="1:34" ht="92.25" customHeight="1" x14ac:dyDescent="0.25">
      <c r="A212" s="961" t="s">
        <v>943</v>
      </c>
      <c r="B212" s="216" t="s">
        <v>963</v>
      </c>
      <c r="C212" s="217" t="s">
        <v>964</v>
      </c>
      <c r="D212" s="217" t="s">
        <v>965</v>
      </c>
      <c r="E212" s="245" t="s">
        <v>176</v>
      </c>
      <c r="F212" s="246">
        <v>25</v>
      </c>
      <c r="G212" s="246">
        <v>1000</v>
      </c>
      <c r="H212" s="158">
        <v>330</v>
      </c>
      <c r="I212" s="158">
        <v>127</v>
      </c>
      <c r="J212" s="208">
        <f t="shared" si="27"/>
        <v>0.38484848484848483</v>
      </c>
      <c r="K212" s="158"/>
      <c r="L212" s="158"/>
      <c r="M212" s="158" t="e">
        <f t="shared" si="28"/>
        <v>#DIV/0!</v>
      </c>
      <c r="N212" s="209" t="s">
        <v>1107</v>
      </c>
      <c r="P212" s="252"/>
    </row>
    <row r="213" spans="1:34" ht="129" customHeight="1" x14ac:dyDescent="0.25">
      <c r="A213" s="951"/>
      <c r="B213" s="30" t="s">
        <v>967</v>
      </c>
      <c r="C213" s="222" t="s">
        <v>968</v>
      </c>
      <c r="D213" s="222" t="s">
        <v>969</v>
      </c>
      <c r="E213" s="245" t="s">
        <v>176</v>
      </c>
      <c r="F213" s="61">
        <v>25</v>
      </c>
      <c r="G213" s="61">
        <v>100</v>
      </c>
      <c r="H213" s="158">
        <v>34</v>
      </c>
      <c r="I213" s="158">
        <v>14</v>
      </c>
      <c r="J213" s="208">
        <f t="shared" si="27"/>
        <v>0.41176470588235292</v>
      </c>
      <c r="K213" s="158"/>
      <c r="L213" s="158"/>
      <c r="M213" s="158" t="e">
        <f t="shared" si="28"/>
        <v>#DIV/0!</v>
      </c>
      <c r="N213" s="225" t="s">
        <v>1108</v>
      </c>
      <c r="P213" s="252"/>
    </row>
    <row r="214" spans="1:34" ht="92.25" customHeight="1" x14ac:dyDescent="0.25">
      <c r="A214" s="951"/>
      <c r="B214" s="30" t="s">
        <v>971</v>
      </c>
      <c r="C214" s="222" t="s">
        <v>972</v>
      </c>
      <c r="D214" s="222" t="s">
        <v>973</v>
      </c>
      <c r="E214" s="245" t="s">
        <v>176</v>
      </c>
      <c r="F214" s="61">
        <v>25</v>
      </c>
      <c r="G214" s="61">
        <v>9</v>
      </c>
      <c r="H214" s="158">
        <v>3.3</v>
      </c>
      <c r="I214" s="158">
        <v>1.353</v>
      </c>
      <c r="J214" s="208">
        <f t="shared" si="27"/>
        <v>0.41000000000000003</v>
      </c>
      <c r="K214" s="158"/>
      <c r="L214" s="158"/>
      <c r="M214" s="158" t="e">
        <f t="shared" si="28"/>
        <v>#DIV/0!</v>
      </c>
      <c r="N214" s="209" t="s">
        <v>1109</v>
      </c>
      <c r="P214" s="252"/>
    </row>
    <row r="215" spans="1:34" ht="92.25" customHeight="1" x14ac:dyDescent="0.25">
      <c r="A215" s="962"/>
      <c r="B215" s="226" t="s">
        <v>999</v>
      </c>
      <c r="C215" s="227" t="s">
        <v>976</v>
      </c>
      <c r="D215" s="227" t="s">
        <v>977</v>
      </c>
      <c r="E215" s="245" t="s">
        <v>176</v>
      </c>
      <c r="F215" s="245">
        <v>25</v>
      </c>
      <c r="G215" s="245">
        <v>1</v>
      </c>
      <c r="H215" s="158">
        <v>0.15</v>
      </c>
      <c r="I215" s="158">
        <v>5.8000000000000003E-2</v>
      </c>
      <c r="J215" s="208">
        <f t="shared" si="27"/>
        <v>0.38666666666666671</v>
      </c>
      <c r="K215" s="158"/>
      <c r="L215" s="158"/>
      <c r="M215" s="158" t="e">
        <f t="shared" si="28"/>
        <v>#DIV/0!</v>
      </c>
      <c r="N215" s="209" t="s">
        <v>1110</v>
      </c>
      <c r="P215" s="252"/>
    </row>
    <row r="216" spans="1:34" ht="92.25" customHeight="1" x14ac:dyDescent="0.25">
      <c r="A216" s="961" t="s">
        <v>944</v>
      </c>
      <c r="B216" s="216" t="s">
        <v>963</v>
      </c>
      <c r="C216" s="217" t="s">
        <v>964</v>
      </c>
      <c r="D216" s="217" t="s">
        <v>965</v>
      </c>
      <c r="E216" s="245" t="s">
        <v>176</v>
      </c>
      <c r="F216" s="246">
        <v>25</v>
      </c>
      <c r="G216" s="246">
        <v>1000</v>
      </c>
      <c r="H216" s="158">
        <v>330</v>
      </c>
      <c r="I216" s="158">
        <v>158</v>
      </c>
      <c r="J216" s="208">
        <f t="shared" si="27"/>
        <v>0.47878787878787876</v>
      </c>
      <c r="K216" s="158"/>
      <c r="L216" s="158"/>
      <c r="M216" s="158" t="e">
        <f t="shared" si="28"/>
        <v>#DIV/0!</v>
      </c>
      <c r="N216" s="209" t="s">
        <v>1111</v>
      </c>
      <c r="P216" s="252"/>
    </row>
    <row r="217" spans="1:34" ht="129" customHeight="1" x14ac:dyDescent="0.25">
      <c r="A217" s="951"/>
      <c r="B217" s="30" t="s">
        <v>967</v>
      </c>
      <c r="C217" s="222" t="s">
        <v>968</v>
      </c>
      <c r="D217" s="222" t="s">
        <v>969</v>
      </c>
      <c r="E217" s="245" t="s">
        <v>176</v>
      </c>
      <c r="F217" s="61">
        <v>25</v>
      </c>
      <c r="G217" s="61">
        <v>100</v>
      </c>
      <c r="H217" s="158">
        <v>34</v>
      </c>
      <c r="I217" s="158">
        <v>17</v>
      </c>
      <c r="J217" s="208">
        <f t="shared" si="27"/>
        <v>0.5</v>
      </c>
      <c r="K217" s="158"/>
      <c r="L217" s="158"/>
      <c r="M217" s="158" t="e">
        <f t="shared" si="28"/>
        <v>#DIV/0!</v>
      </c>
      <c r="N217" s="225" t="s">
        <v>1112</v>
      </c>
      <c r="P217" s="252"/>
    </row>
    <row r="218" spans="1:34" ht="92.25" customHeight="1" x14ac:dyDescent="0.25">
      <c r="A218" s="951"/>
      <c r="B218" s="30" t="s">
        <v>971</v>
      </c>
      <c r="C218" s="222" t="s">
        <v>972</v>
      </c>
      <c r="D218" s="222" t="s">
        <v>973</v>
      </c>
      <c r="E218" s="245" t="s">
        <v>176</v>
      </c>
      <c r="F218" s="61">
        <v>25</v>
      </c>
      <c r="G218" s="61">
        <v>9</v>
      </c>
      <c r="H218" s="158">
        <v>3.3</v>
      </c>
      <c r="I218" s="158">
        <v>1.65</v>
      </c>
      <c r="J218" s="208">
        <f t="shared" si="27"/>
        <v>0.5</v>
      </c>
      <c r="K218" s="158"/>
      <c r="L218" s="158"/>
      <c r="M218" s="158" t="e">
        <f t="shared" si="28"/>
        <v>#DIV/0!</v>
      </c>
      <c r="N218" s="209" t="s">
        <v>1113</v>
      </c>
      <c r="P218" s="252"/>
    </row>
    <row r="219" spans="1:34" ht="92.25" customHeight="1" x14ac:dyDescent="0.25">
      <c r="A219" s="962"/>
      <c r="B219" s="226" t="s">
        <v>999</v>
      </c>
      <c r="C219" s="227" t="s">
        <v>976</v>
      </c>
      <c r="D219" s="227" t="s">
        <v>977</v>
      </c>
      <c r="E219" s="245" t="s">
        <v>176</v>
      </c>
      <c r="F219" s="245">
        <v>25</v>
      </c>
      <c r="G219" s="245">
        <v>1</v>
      </c>
      <c r="H219" s="158">
        <v>0.15</v>
      </c>
      <c r="I219" s="158">
        <v>7.0999999999999994E-2</v>
      </c>
      <c r="J219" s="208">
        <f t="shared" si="27"/>
        <v>0.47333333333333333</v>
      </c>
      <c r="K219" s="158"/>
      <c r="L219" s="158"/>
      <c r="M219" s="158" t="e">
        <f t="shared" si="28"/>
        <v>#DIV/0!</v>
      </c>
      <c r="N219" s="209" t="s">
        <v>1114</v>
      </c>
      <c r="P219" s="252"/>
    </row>
    <row r="220" spans="1:34" ht="92.25" customHeight="1" x14ac:dyDescent="0.25">
      <c r="A220" s="963" t="s">
        <v>931</v>
      </c>
      <c r="B220" s="253" t="s">
        <v>963</v>
      </c>
      <c r="C220" s="254" t="s">
        <v>964</v>
      </c>
      <c r="D220" s="254" t="s">
        <v>965</v>
      </c>
      <c r="E220" s="255" t="s">
        <v>176</v>
      </c>
      <c r="F220" s="256">
        <v>25</v>
      </c>
      <c r="G220" s="256">
        <v>1000</v>
      </c>
      <c r="H220" s="157">
        <v>330</v>
      </c>
      <c r="I220" s="157">
        <v>189</v>
      </c>
      <c r="J220" s="257">
        <f t="shared" si="27"/>
        <v>0.57272727272727275</v>
      </c>
      <c r="K220" s="157"/>
      <c r="L220" s="157"/>
      <c r="M220" s="157" t="e">
        <f t="shared" si="28"/>
        <v>#DIV/0!</v>
      </c>
      <c r="N220" s="244" t="s">
        <v>1115</v>
      </c>
      <c r="O220" s="1"/>
      <c r="P220" s="258"/>
      <c r="Q220" s="1"/>
      <c r="R220" s="1"/>
      <c r="S220" s="1"/>
      <c r="T220" s="1"/>
      <c r="U220" s="1"/>
      <c r="V220" s="1"/>
      <c r="W220" s="1"/>
      <c r="X220" s="1"/>
      <c r="Y220" s="1"/>
      <c r="Z220" s="1"/>
      <c r="AA220" s="1"/>
      <c r="AB220" s="1"/>
      <c r="AC220" s="1"/>
      <c r="AD220" s="1"/>
      <c r="AE220" s="1"/>
      <c r="AF220" s="1"/>
      <c r="AG220" s="1"/>
      <c r="AH220" s="1"/>
    </row>
    <row r="221" spans="1:34" ht="129" customHeight="1" x14ac:dyDescent="0.25">
      <c r="A221" s="708"/>
      <c r="B221" s="259" t="s">
        <v>967</v>
      </c>
      <c r="C221" s="251" t="s">
        <v>968</v>
      </c>
      <c r="D221" s="251" t="s">
        <v>969</v>
      </c>
      <c r="E221" s="255" t="s">
        <v>176</v>
      </c>
      <c r="F221" s="160">
        <v>25</v>
      </c>
      <c r="G221" s="160">
        <v>100</v>
      </c>
      <c r="H221" s="157">
        <v>34</v>
      </c>
      <c r="I221" s="157">
        <v>20</v>
      </c>
      <c r="J221" s="257">
        <f t="shared" si="27"/>
        <v>0.58823529411764708</v>
      </c>
      <c r="K221" s="157"/>
      <c r="L221" s="157"/>
      <c r="M221" s="157" t="e">
        <f t="shared" si="28"/>
        <v>#DIV/0!</v>
      </c>
      <c r="N221" s="236" t="s">
        <v>1116</v>
      </c>
      <c r="O221" s="1"/>
      <c r="P221" s="258"/>
      <c r="Q221" s="1"/>
      <c r="R221" s="1"/>
      <c r="S221" s="1"/>
      <c r="T221" s="1"/>
      <c r="U221" s="1"/>
      <c r="V221" s="1"/>
      <c r="W221" s="1"/>
      <c r="X221" s="1"/>
      <c r="Y221" s="1"/>
      <c r="Z221" s="1"/>
      <c r="AA221" s="1"/>
      <c r="AB221" s="1"/>
      <c r="AC221" s="1"/>
      <c r="AD221" s="1"/>
      <c r="AE221" s="1"/>
      <c r="AF221" s="1"/>
      <c r="AG221" s="1"/>
      <c r="AH221" s="1"/>
    </row>
    <row r="222" spans="1:34" ht="92.25" customHeight="1" x14ac:dyDescent="0.25">
      <c r="A222" s="708"/>
      <c r="B222" s="259" t="s">
        <v>971</v>
      </c>
      <c r="C222" s="251" t="s">
        <v>972</v>
      </c>
      <c r="D222" s="251" t="s">
        <v>973</v>
      </c>
      <c r="E222" s="255" t="s">
        <v>176</v>
      </c>
      <c r="F222" s="160">
        <v>25</v>
      </c>
      <c r="G222" s="160">
        <v>9</v>
      </c>
      <c r="H222" s="157">
        <v>3.3</v>
      </c>
      <c r="I222" s="157">
        <v>1.95</v>
      </c>
      <c r="J222" s="257">
        <f t="shared" si="27"/>
        <v>0.59090909090909094</v>
      </c>
      <c r="K222" s="157"/>
      <c r="L222" s="157"/>
      <c r="M222" s="157" t="e">
        <f t="shared" si="28"/>
        <v>#DIV/0!</v>
      </c>
      <c r="N222" s="244" t="s">
        <v>1117</v>
      </c>
      <c r="O222" s="1"/>
      <c r="P222" s="258"/>
      <c r="Q222" s="1"/>
      <c r="R222" s="1"/>
      <c r="S222" s="1"/>
      <c r="T222" s="1"/>
      <c r="U222" s="1"/>
      <c r="V222" s="1"/>
      <c r="W222" s="1"/>
      <c r="X222" s="1"/>
      <c r="Y222" s="1"/>
      <c r="Z222" s="1"/>
      <c r="AA222" s="1"/>
      <c r="AB222" s="1"/>
      <c r="AC222" s="1"/>
      <c r="AD222" s="1"/>
      <c r="AE222" s="1"/>
      <c r="AF222" s="1"/>
      <c r="AG222" s="1"/>
      <c r="AH222" s="1"/>
    </row>
    <row r="223" spans="1:34" ht="92.25" customHeight="1" x14ac:dyDescent="0.25">
      <c r="A223" s="955"/>
      <c r="B223" s="260" t="s">
        <v>999</v>
      </c>
      <c r="C223" s="261" t="s">
        <v>976</v>
      </c>
      <c r="D223" s="261" t="s">
        <v>977</v>
      </c>
      <c r="E223" s="255" t="s">
        <v>176</v>
      </c>
      <c r="F223" s="255">
        <v>25</v>
      </c>
      <c r="G223" s="255">
        <v>1</v>
      </c>
      <c r="H223" s="157">
        <v>0.15</v>
      </c>
      <c r="I223" s="157">
        <v>8.4000000000000005E-2</v>
      </c>
      <c r="J223" s="257">
        <f t="shared" si="27"/>
        <v>0.56000000000000005</v>
      </c>
      <c r="K223" s="157"/>
      <c r="L223" s="157"/>
      <c r="M223" s="157" t="e">
        <f t="shared" si="28"/>
        <v>#DIV/0!</v>
      </c>
      <c r="N223" s="244" t="s">
        <v>1118</v>
      </c>
      <c r="O223" s="1"/>
      <c r="P223" s="258"/>
      <c r="Q223" s="1"/>
      <c r="R223" s="1"/>
      <c r="S223" s="1"/>
      <c r="T223" s="1"/>
      <c r="U223" s="1"/>
      <c r="V223" s="1"/>
      <c r="W223" s="1"/>
      <c r="X223" s="1"/>
      <c r="Y223" s="1"/>
      <c r="Z223" s="1"/>
      <c r="AA223" s="1"/>
      <c r="AB223" s="1"/>
      <c r="AC223" s="1"/>
      <c r="AD223" s="1"/>
      <c r="AE223" s="1"/>
      <c r="AF223" s="1"/>
      <c r="AG223" s="1"/>
      <c r="AH223" s="1"/>
    </row>
    <row r="224" spans="1:34" ht="92.25" customHeight="1" x14ac:dyDescent="0.25">
      <c r="A224" s="961" t="s">
        <v>932</v>
      </c>
      <c r="B224" s="216" t="s">
        <v>963</v>
      </c>
      <c r="C224" s="217" t="s">
        <v>964</v>
      </c>
      <c r="D224" s="217" t="s">
        <v>965</v>
      </c>
      <c r="E224" s="245" t="s">
        <v>176</v>
      </c>
      <c r="F224" s="246">
        <v>25</v>
      </c>
      <c r="G224" s="246">
        <v>1000</v>
      </c>
      <c r="H224" s="158">
        <v>330</v>
      </c>
      <c r="I224" s="158">
        <v>220</v>
      </c>
      <c r="J224" s="208">
        <f t="shared" si="27"/>
        <v>0.66666666666666663</v>
      </c>
      <c r="K224" s="158"/>
      <c r="L224" s="158"/>
      <c r="M224" s="158" t="e">
        <f t="shared" si="28"/>
        <v>#DIV/0!</v>
      </c>
      <c r="N224" s="209" t="s">
        <v>1119</v>
      </c>
      <c r="P224" s="252"/>
    </row>
    <row r="225" spans="1:34" ht="129" customHeight="1" x14ac:dyDescent="0.25">
      <c r="A225" s="951"/>
      <c r="B225" s="30" t="s">
        <v>967</v>
      </c>
      <c r="C225" s="222" t="s">
        <v>968</v>
      </c>
      <c r="D225" s="222" t="s">
        <v>969</v>
      </c>
      <c r="E225" s="245" t="s">
        <v>176</v>
      </c>
      <c r="F225" s="61">
        <v>25</v>
      </c>
      <c r="G225" s="61">
        <v>100</v>
      </c>
      <c r="H225" s="158">
        <v>34</v>
      </c>
      <c r="I225" s="158">
        <v>23</v>
      </c>
      <c r="J225" s="208">
        <f t="shared" si="27"/>
        <v>0.67647058823529416</v>
      </c>
      <c r="K225" s="158"/>
      <c r="L225" s="158"/>
      <c r="M225" s="158" t="e">
        <f t="shared" si="28"/>
        <v>#DIV/0!</v>
      </c>
      <c r="N225" s="225" t="s">
        <v>1120</v>
      </c>
      <c r="P225" s="252"/>
    </row>
    <row r="226" spans="1:34" ht="92.25" customHeight="1" x14ac:dyDescent="0.25">
      <c r="A226" s="951"/>
      <c r="B226" s="30" t="s">
        <v>971</v>
      </c>
      <c r="C226" s="222" t="s">
        <v>972</v>
      </c>
      <c r="D226" s="222" t="s">
        <v>973</v>
      </c>
      <c r="E226" s="245" t="s">
        <v>176</v>
      </c>
      <c r="F226" s="61">
        <v>25</v>
      </c>
      <c r="G226" s="61">
        <v>9</v>
      </c>
      <c r="H226" s="158">
        <v>3.3</v>
      </c>
      <c r="I226" s="158">
        <v>2.2440000000000002</v>
      </c>
      <c r="J226" s="208">
        <f t="shared" si="27"/>
        <v>0.68</v>
      </c>
      <c r="K226" s="158"/>
      <c r="L226" s="158"/>
      <c r="M226" s="158" t="e">
        <f t="shared" si="28"/>
        <v>#DIV/0!</v>
      </c>
      <c r="N226" s="209" t="s">
        <v>1121</v>
      </c>
      <c r="P226" s="252"/>
    </row>
    <row r="227" spans="1:34" ht="92.25" customHeight="1" x14ac:dyDescent="0.25">
      <c r="A227" s="962"/>
      <c r="B227" s="226" t="s">
        <v>999</v>
      </c>
      <c r="C227" s="227" t="s">
        <v>976</v>
      </c>
      <c r="D227" s="227" t="s">
        <v>977</v>
      </c>
      <c r="E227" s="245" t="s">
        <v>176</v>
      </c>
      <c r="F227" s="245">
        <v>25</v>
      </c>
      <c r="G227" s="245">
        <v>1</v>
      </c>
      <c r="H227" s="158">
        <v>0.15</v>
      </c>
      <c r="I227" s="158">
        <v>9.9000000000000005E-2</v>
      </c>
      <c r="J227" s="208">
        <f t="shared" si="27"/>
        <v>0.66</v>
      </c>
      <c r="K227" s="158"/>
      <c r="L227" s="158"/>
      <c r="M227" s="158" t="e">
        <f t="shared" si="28"/>
        <v>#DIV/0!</v>
      </c>
      <c r="N227" s="209" t="s">
        <v>1122</v>
      </c>
      <c r="P227" s="252"/>
    </row>
    <row r="228" spans="1:34" ht="92.25" customHeight="1" x14ac:dyDescent="0.25">
      <c r="A228" s="963" t="s">
        <v>933</v>
      </c>
      <c r="B228" s="253" t="s">
        <v>963</v>
      </c>
      <c r="C228" s="254" t="s">
        <v>964</v>
      </c>
      <c r="D228" s="254" t="s">
        <v>965</v>
      </c>
      <c r="E228" s="255" t="s">
        <v>176</v>
      </c>
      <c r="F228" s="256">
        <v>25</v>
      </c>
      <c r="G228" s="256">
        <v>1000</v>
      </c>
      <c r="H228" s="157">
        <v>330</v>
      </c>
      <c r="I228" s="157">
        <v>251</v>
      </c>
      <c r="J228" s="257">
        <f t="shared" si="27"/>
        <v>0.76060606060606062</v>
      </c>
      <c r="K228" s="157"/>
      <c r="L228" s="157"/>
      <c r="M228" s="157" t="e">
        <f t="shared" si="28"/>
        <v>#DIV/0!</v>
      </c>
      <c r="N228" s="244" t="s">
        <v>1123</v>
      </c>
      <c r="O228" s="1"/>
      <c r="P228" s="258"/>
      <c r="Q228" s="1"/>
      <c r="R228" s="1"/>
      <c r="S228" s="1"/>
      <c r="T228" s="1"/>
      <c r="U228" s="1"/>
      <c r="V228" s="1"/>
      <c r="W228" s="1"/>
      <c r="X228" s="1"/>
      <c r="Y228" s="1"/>
      <c r="Z228" s="1"/>
      <c r="AA228" s="1"/>
      <c r="AB228" s="1"/>
      <c r="AC228" s="1"/>
      <c r="AD228" s="1"/>
      <c r="AE228" s="1"/>
      <c r="AF228" s="1"/>
      <c r="AG228" s="1"/>
      <c r="AH228" s="1"/>
    </row>
    <row r="229" spans="1:34" ht="129" customHeight="1" x14ac:dyDescent="0.25">
      <c r="A229" s="708"/>
      <c r="B229" s="259" t="s">
        <v>967</v>
      </c>
      <c r="C229" s="251" t="s">
        <v>968</v>
      </c>
      <c r="D229" s="251" t="s">
        <v>969</v>
      </c>
      <c r="E229" s="255" t="s">
        <v>176</v>
      </c>
      <c r="F229" s="160">
        <v>25</v>
      </c>
      <c r="G229" s="160">
        <v>100</v>
      </c>
      <c r="H229" s="157">
        <v>34</v>
      </c>
      <c r="I229" s="157">
        <v>26</v>
      </c>
      <c r="J229" s="257">
        <f t="shared" si="27"/>
        <v>0.76470588235294112</v>
      </c>
      <c r="K229" s="157"/>
      <c r="L229" s="157"/>
      <c r="M229" s="157" t="e">
        <f t="shared" si="28"/>
        <v>#DIV/0!</v>
      </c>
      <c r="N229" s="236" t="s">
        <v>1124</v>
      </c>
      <c r="O229" s="1"/>
      <c r="P229" s="258"/>
      <c r="Q229" s="1"/>
      <c r="R229" s="1"/>
      <c r="S229" s="1"/>
      <c r="T229" s="1"/>
      <c r="U229" s="1"/>
      <c r="V229" s="1"/>
      <c r="W229" s="1"/>
      <c r="X229" s="1"/>
      <c r="Y229" s="1"/>
      <c r="Z229" s="1"/>
      <c r="AA229" s="1"/>
      <c r="AB229" s="1"/>
      <c r="AC229" s="1"/>
      <c r="AD229" s="1"/>
      <c r="AE229" s="1"/>
      <c r="AF229" s="1"/>
      <c r="AG229" s="1"/>
      <c r="AH229" s="1"/>
    </row>
    <row r="230" spans="1:34" ht="92.25" customHeight="1" x14ac:dyDescent="0.25">
      <c r="A230" s="708"/>
      <c r="B230" s="259" t="s">
        <v>971</v>
      </c>
      <c r="C230" s="251" t="s">
        <v>972</v>
      </c>
      <c r="D230" s="251" t="s">
        <v>973</v>
      </c>
      <c r="E230" s="255" t="s">
        <v>176</v>
      </c>
      <c r="F230" s="160">
        <v>25</v>
      </c>
      <c r="G230" s="160">
        <v>9</v>
      </c>
      <c r="H230" s="157">
        <v>3.3</v>
      </c>
      <c r="I230" s="157">
        <v>2.5409999999999999</v>
      </c>
      <c r="J230" s="257">
        <f t="shared" si="27"/>
        <v>0.77</v>
      </c>
      <c r="K230" s="157"/>
      <c r="L230" s="157"/>
      <c r="M230" s="157" t="e">
        <f t="shared" si="28"/>
        <v>#DIV/0!</v>
      </c>
      <c r="N230" s="244" t="s">
        <v>1125</v>
      </c>
      <c r="O230" s="1"/>
      <c r="P230" s="258"/>
      <c r="Q230" s="1"/>
      <c r="R230" s="1"/>
      <c r="S230" s="1"/>
      <c r="T230" s="1"/>
      <c r="U230" s="1"/>
      <c r="V230" s="1"/>
      <c r="W230" s="1"/>
      <c r="X230" s="1"/>
      <c r="Y230" s="1"/>
      <c r="Z230" s="1"/>
      <c r="AA230" s="1"/>
      <c r="AB230" s="1"/>
      <c r="AC230" s="1"/>
      <c r="AD230" s="1"/>
      <c r="AE230" s="1"/>
      <c r="AF230" s="1"/>
      <c r="AG230" s="1"/>
      <c r="AH230" s="1"/>
    </row>
    <row r="231" spans="1:34" ht="92.25" customHeight="1" x14ac:dyDescent="0.25">
      <c r="A231" s="955"/>
      <c r="B231" s="260" t="s">
        <v>999</v>
      </c>
      <c r="C231" s="261" t="s">
        <v>976</v>
      </c>
      <c r="D231" s="261" t="s">
        <v>977</v>
      </c>
      <c r="E231" s="255" t="s">
        <v>176</v>
      </c>
      <c r="F231" s="255">
        <v>25</v>
      </c>
      <c r="G231" s="255">
        <v>1</v>
      </c>
      <c r="H231" s="157">
        <v>0.15</v>
      </c>
      <c r="I231" s="157">
        <v>0.112</v>
      </c>
      <c r="J231" s="257">
        <f t="shared" si="27"/>
        <v>0.7466666666666667</v>
      </c>
      <c r="K231" s="157"/>
      <c r="L231" s="157"/>
      <c r="M231" s="157" t="e">
        <f t="shared" si="28"/>
        <v>#DIV/0!</v>
      </c>
      <c r="N231" s="244" t="s">
        <v>1126</v>
      </c>
      <c r="O231" s="1"/>
      <c r="P231" s="258"/>
      <c r="Q231" s="1"/>
      <c r="R231" s="1"/>
      <c r="S231" s="1"/>
      <c r="T231" s="1"/>
      <c r="U231" s="1"/>
      <c r="V231" s="1"/>
      <c r="W231" s="1"/>
      <c r="X231" s="1"/>
      <c r="Y231" s="1"/>
      <c r="Z231" s="1"/>
      <c r="AA231" s="1"/>
      <c r="AB231" s="1"/>
      <c r="AC231" s="1"/>
      <c r="AD231" s="1"/>
      <c r="AE231" s="1"/>
      <c r="AF231" s="1"/>
      <c r="AG231" s="1"/>
      <c r="AH231" s="1"/>
    </row>
    <row r="232" spans="1:34" ht="92.25" customHeight="1" x14ac:dyDescent="0.25">
      <c r="A232" s="963" t="s">
        <v>934</v>
      </c>
      <c r="B232" s="253" t="s">
        <v>963</v>
      </c>
      <c r="C232" s="254" t="s">
        <v>964</v>
      </c>
      <c r="D232" s="254" t="s">
        <v>965</v>
      </c>
      <c r="E232" s="255" t="s">
        <v>176</v>
      </c>
      <c r="F232" s="256">
        <v>25</v>
      </c>
      <c r="G232" s="256">
        <v>1000</v>
      </c>
      <c r="H232" s="157">
        <v>330</v>
      </c>
      <c r="I232" s="157">
        <v>282</v>
      </c>
      <c r="J232" s="257">
        <f t="shared" si="27"/>
        <v>0.8545454545454545</v>
      </c>
      <c r="K232" s="157"/>
      <c r="L232" s="157"/>
      <c r="M232" s="157" t="e">
        <f t="shared" si="28"/>
        <v>#DIV/0!</v>
      </c>
      <c r="N232" s="244" t="s">
        <v>1127</v>
      </c>
      <c r="O232" s="1"/>
      <c r="P232" s="258"/>
      <c r="Q232" s="1"/>
      <c r="R232" s="1"/>
      <c r="S232" s="1"/>
      <c r="T232" s="1"/>
      <c r="U232" s="1"/>
      <c r="V232" s="1"/>
      <c r="W232" s="1"/>
      <c r="X232" s="1"/>
      <c r="Y232" s="1"/>
      <c r="Z232" s="1"/>
      <c r="AA232" s="1"/>
      <c r="AB232" s="1"/>
      <c r="AC232" s="1"/>
      <c r="AD232" s="1"/>
      <c r="AE232" s="1"/>
      <c r="AF232" s="1"/>
      <c r="AG232" s="1"/>
      <c r="AH232" s="1"/>
    </row>
    <row r="233" spans="1:34" ht="129" customHeight="1" x14ac:dyDescent="0.25">
      <c r="A233" s="708"/>
      <c r="B233" s="259" t="s">
        <v>967</v>
      </c>
      <c r="C233" s="251" t="s">
        <v>968</v>
      </c>
      <c r="D233" s="251" t="s">
        <v>969</v>
      </c>
      <c r="E233" s="255" t="s">
        <v>176</v>
      </c>
      <c r="F233" s="160">
        <v>25</v>
      </c>
      <c r="G233" s="160">
        <v>100</v>
      </c>
      <c r="H233" s="157">
        <v>34</v>
      </c>
      <c r="I233" s="157">
        <v>29</v>
      </c>
      <c r="J233" s="257">
        <f t="shared" si="27"/>
        <v>0.8529411764705882</v>
      </c>
      <c r="K233" s="157"/>
      <c r="L233" s="157"/>
      <c r="M233" s="157" t="e">
        <f t="shared" si="28"/>
        <v>#DIV/0!</v>
      </c>
      <c r="N233" s="236" t="s">
        <v>1128</v>
      </c>
      <c r="O233" s="1"/>
      <c r="P233" s="258"/>
      <c r="Q233" s="1"/>
      <c r="R233" s="1"/>
      <c r="S233" s="1"/>
      <c r="T233" s="1"/>
      <c r="U233" s="1"/>
      <c r="V233" s="1"/>
      <c r="W233" s="1"/>
      <c r="X233" s="1"/>
      <c r="Y233" s="1"/>
      <c r="Z233" s="1"/>
      <c r="AA233" s="1"/>
      <c r="AB233" s="1"/>
      <c r="AC233" s="1"/>
      <c r="AD233" s="1"/>
      <c r="AE233" s="1"/>
      <c r="AF233" s="1"/>
      <c r="AG233" s="1"/>
      <c r="AH233" s="1"/>
    </row>
    <row r="234" spans="1:34" ht="92.25" customHeight="1" x14ac:dyDescent="0.25">
      <c r="A234" s="708"/>
      <c r="B234" s="259" t="s">
        <v>971</v>
      </c>
      <c r="C234" s="251" t="s">
        <v>972</v>
      </c>
      <c r="D234" s="251" t="s">
        <v>973</v>
      </c>
      <c r="E234" s="255" t="s">
        <v>176</v>
      </c>
      <c r="F234" s="160">
        <v>25</v>
      </c>
      <c r="G234" s="160">
        <v>9</v>
      </c>
      <c r="H234" s="157">
        <v>3.3</v>
      </c>
      <c r="I234" s="157">
        <v>2.8380000000000001</v>
      </c>
      <c r="J234" s="257">
        <f t="shared" si="27"/>
        <v>0.8600000000000001</v>
      </c>
      <c r="K234" s="157"/>
      <c r="L234" s="157"/>
      <c r="M234" s="157" t="e">
        <f t="shared" si="28"/>
        <v>#DIV/0!</v>
      </c>
      <c r="N234" s="244" t="s">
        <v>1129</v>
      </c>
      <c r="O234" s="1"/>
      <c r="P234" s="258"/>
      <c r="Q234" s="1"/>
      <c r="R234" s="1"/>
      <c r="S234" s="1"/>
      <c r="T234" s="1"/>
      <c r="U234" s="1"/>
      <c r="V234" s="1"/>
      <c r="W234" s="1"/>
      <c r="X234" s="1"/>
      <c r="Y234" s="1"/>
      <c r="Z234" s="1"/>
      <c r="AA234" s="1"/>
      <c r="AB234" s="1"/>
      <c r="AC234" s="1"/>
      <c r="AD234" s="1"/>
      <c r="AE234" s="1"/>
      <c r="AF234" s="1"/>
      <c r="AG234" s="1"/>
      <c r="AH234" s="1"/>
    </row>
    <row r="235" spans="1:34" ht="92.25" customHeight="1" x14ac:dyDescent="0.25">
      <c r="A235" s="955"/>
      <c r="B235" s="260" t="s">
        <v>999</v>
      </c>
      <c r="C235" s="261" t="s">
        <v>976</v>
      </c>
      <c r="D235" s="261" t="s">
        <v>977</v>
      </c>
      <c r="E235" s="255" t="s">
        <v>176</v>
      </c>
      <c r="F235" s="255">
        <v>25</v>
      </c>
      <c r="G235" s="255">
        <v>1</v>
      </c>
      <c r="H235" s="157">
        <v>0.15</v>
      </c>
      <c r="I235" s="157">
        <v>0.127</v>
      </c>
      <c r="J235" s="257">
        <f t="shared" si="27"/>
        <v>0.84666666666666668</v>
      </c>
      <c r="K235" s="157"/>
      <c r="L235" s="157"/>
      <c r="M235" s="157" t="e">
        <f t="shared" si="28"/>
        <v>#DIV/0!</v>
      </c>
      <c r="N235" s="244" t="s">
        <v>1130</v>
      </c>
      <c r="O235" s="1"/>
      <c r="P235" s="258"/>
      <c r="Q235" s="1"/>
      <c r="R235" s="1"/>
      <c r="S235" s="1"/>
      <c r="T235" s="1"/>
      <c r="U235" s="1"/>
      <c r="V235" s="1"/>
      <c r="W235" s="1"/>
      <c r="X235" s="1"/>
      <c r="Y235" s="1"/>
      <c r="Z235" s="1"/>
      <c r="AA235" s="1"/>
      <c r="AB235" s="1"/>
      <c r="AC235" s="1"/>
      <c r="AD235" s="1"/>
      <c r="AE235" s="1"/>
      <c r="AF235" s="1"/>
      <c r="AG235" s="1"/>
      <c r="AH235" s="1"/>
    </row>
    <row r="236" spans="1:34" ht="92.25" customHeight="1" x14ac:dyDescent="0.25">
      <c r="A236" s="954" t="s">
        <v>936</v>
      </c>
      <c r="B236" s="262" t="s">
        <v>963</v>
      </c>
      <c r="C236" s="263" t="s">
        <v>964</v>
      </c>
      <c r="D236" s="263" t="s">
        <v>965</v>
      </c>
      <c r="E236" s="264" t="s">
        <v>176</v>
      </c>
      <c r="F236" s="265">
        <v>25</v>
      </c>
      <c r="G236" s="265">
        <v>1000</v>
      </c>
      <c r="H236" s="266">
        <v>330</v>
      </c>
      <c r="I236" s="266">
        <v>302</v>
      </c>
      <c r="J236" s="267">
        <f t="shared" si="27"/>
        <v>0.91515151515151516</v>
      </c>
      <c r="K236" s="266"/>
      <c r="L236" s="266"/>
      <c r="M236" s="266" t="e">
        <f t="shared" si="28"/>
        <v>#DIV/0!</v>
      </c>
      <c r="N236" s="268" t="s">
        <v>1131</v>
      </c>
      <c r="O236" s="269"/>
      <c r="P236" s="270"/>
      <c r="Q236" s="269"/>
      <c r="R236" s="269"/>
      <c r="S236" s="269"/>
      <c r="T236" s="269"/>
      <c r="U236" s="269"/>
      <c r="V236" s="269"/>
      <c r="W236" s="269"/>
      <c r="X236" s="269"/>
      <c r="Y236" s="269"/>
      <c r="Z236" s="269"/>
      <c r="AA236" s="269"/>
      <c r="AB236" s="269"/>
      <c r="AC236" s="269"/>
      <c r="AD236" s="269"/>
      <c r="AE236" s="269"/>
      <c r="AF236" s="269"/>
      <c r="AG236" s="269"/>
      <c r="AH236" s="269"/>
    </row>
    <row r="237" spans="1:34" ht="129" customHeight="1" x14ac:dyDescent="0.25">
      <c r="A237" s="708"/>
      <c r="B237" s="271" t="s">
        <v>967</v>
      </c>
      <c r="C237" s="272" t="s">
        <v>968</v>
      </c>
      <c r="D237" s="272" t="s">
        <v>969</v>
      </c>
      <c r="E237" s="264" t="s">
        <v>176</v>
      </c>
      <c r="F237" s="273">
        <v>25</v>
      </c>
      <c r="G237" s="273">
        <v>100</v>
      </c>
      <c r="H237" s="266">
        <v>34</v>
      </c>
      <c r="I237" s="266">
        <v>32</v>
      </c>
      <c r="J237" s="267">
        <f t="shared" si="27"/>
        <v>0.94117647058823528</v>
      </c>
      <c r="K237" s="266"/>
      <c r="L237" s="266"/>
      <c r="M237" s="266" t="e">
        <f t="shared" si="28"/>
        <v>#DIV/0!</v>
      </c>
      <c r="N237" s="274" t="s">
        <v>1132</v>
      </c>
      <c r="O237" s="269"/>
      <c r="P237" s="270"/>
      <c r="Q237" s="269"/>
      <c r="R237" s="269"/>
      <c r="S237" s="269"/>
      <c r="T237" s="269"/>
      <c r="U237" s="269"/>
      <c r="V237" s="269"/>
      <c r="W237" s="269"/>
      <c r="X237" s="269"/>
      <c r="Y237" s="269"/>
      <c r="Z237" s="269"/>
      <c r="AA237" s="269"/>
      <c r="AB237" s="269"/>
      <c r="AC237" s="269"/>
      <c r="AD237" s="269"/>
      <c r="AE237" s="269"/>
      <c r="AF237" s="269"/>
      <c r="AG237" s="269"/>
      <c r="AH237" s="269"/>
    </row>
    <row r="238" spans="1:34" ht="92.25" customHeight="1" x14ac:dyDescent="0.25">
      <c r="A238" s="708"/>
      <c r="B238" s="271" t="s">
        <v>971</v>
      </c>
      <c r="C238" s="272" t="s">
        <v>972</v>
      </c>
      <c r="D238" s="272" t="s">
        <v>973</v>
      </c>
      <c r="E238" s="264" t="s">
        <v>176</v>
      </c>
      <c r="F238" s="273">
        <v>25</v>
      </c>
      <c r="G238" s="273">
        <v>9</v>
      </c>
      <c r="H238" s="266">
        <v>3.3</v>
      </c>
      <c r="I238" s="266">
        <v>3.1349999999999998</v>
      </c>
      <c r="J238" s="267">
        <f t="shared" si="27"/>
        <v>0.95</v>
      </c>
      <c r="K238" s="266"/>
      <c r="L238" s="266"/>
      <c r="M238" s="266" t="e">
        <f t="shared" si="28"/>
        <v>#DIV/0!</v>
      </c>
      <c r="N238" s="268" t="s">
        <v>1133</v>
      </c>
      <c r="O238" s="269"/>
      <c r="P238" s="270"/>
      <c r="Q238" s="269"/>
      <c r="R238" s="269"/>
      <c r="S238" s="269"/>
      <c r="T238" s="269"/>
      <c r="U238" s="269"/>
      <c r="V238" s="269"/>
      <c r="W238" s="269"/>
      <c r="X238" s="269"/>
      <c r="Y238" s="269"/>
      <c r="Z238" s="269"/>
      <c r="AA238" s="269"/>
      <c r="AB238" s="269"/>
      <c r="AC238" s="269"/>
      <c r="AD238" s="269"/>
      <c r="AE238" s="269"/>
      <c r="AF238" s="269"/>
      <c r="AG238" s="269"/>
      <c r="AH238" s="269"/>
    </row>
    <row r="239" spans="1:34" ht="92.25" customHeight="1" x14ac:dyDescent="0.25">
      <c r="A239" s="955"/>
      <c r="B239" s="275" t="s">
        <v>999</v>
      </c>
      <c r="C239" s="276" t="s">
        <v>976</v>
      </c>
      <c r="D239" s="276" t="s">
        <v>977</v>
      </c>
      <c r="E239" s="264" t="s">
        <v>176</v>
      </c>
      <c r="F239" s="264">
        <v>25</v>
      </c>
      <c r="G239" s="264">
        <v>1</v>
      </c>
      <c r="H239" s="266">
        <v>0.15</v>
      </c>
      <c r="I239" s="266">
        <v>0.14200000000000002</v>
      </c>
      <c r="J239" s="267">
        <f t="shared" si="27"/>
        <v>0.94666666666666677</v>
      </c>
      <c r="K239" s="266"/>
      <c r="L239" s="266"/>
      <c r="M239" s="266" t="e">
        <f t="shared" si="28"/>
        <v>#DIV/0!</v>
      </c>
      <c r="N239" s="268" t="s">
        <v>1134</v>
      </c>
      <c r="O239" s="269"/>
      <c r="P239" s="270"/>
      <c r="Q239" s="269"/>
      <c r="R239" s="269"/>
      <c r="S239" s="269"/>
      <c r="T239" s="269"/>
      <c r="U239" s="269"/>
      <c r="V239" s="269"/>
      <c r="W239" s="269"/>
      <c r="X239" s="269"/>
      <c r="Y239" s="269"/>
      <c r="Z239" s="269"/>
      <c r="AA239" s="269"/>
      <c r="AB239" s="269"/>
      <c r="AC239" s="269"/>
      <c r="AD239" s="269"/>
      <c r="AE239" s="269"/>
      <c r="AF239" s="269"/>
      <c r="AG239" s="269"/>
      <c r="AH239" s="269"/>
    </row>
    <row r="240" spans="1:34" s="361" customFormat="1" ht="92.25" customHeight="1" x14ac:dyDescent="0.25">
      <c r="A240" s="958" t="s">
        <v>937</v>
      </c>
      <c r="B240" s="363" t="s">
        <v>963</v>
      </c>
      <c r="C240" s="364" t="s">
        <v>964</v>
      </c>
      <c r="D240" s="364" t="s">
        <v>965</v>
      </c>
      <c r="E240" s="365" t="s">
        <v>176</v>
      </c>
      <c r="F240" s="366">
        <v>25</v>
      </c>
      <c r="G240" s="366">
        <v>1000</v>
      </c>
      <c r="H240" s="367">
        <v>330</v>
      </c>
      <c r="I240" s="367">
        <v>322</v>
      </c>
      <c r="J240" s="368">
        <f t="shared" si="27"/>
        <v>0.97575757575757571</v>
      </c>
      <c r="K240" s="367"/>
      <c r="L240" s="367"/>
      <c r="M240" s="367" t="e">
        <f t="shared" si="28"/>
        <v>#DIV/0!</v>
      </c>
      <c r="N240" s="369" t="s">
        <v>1135</v>
      </c>
      <c r="O240" s="370"/>
      <c r="P240" s="371"/>
      <c r="Q240" s="370"/>
      <c r="R240" s="370"/>
      <c r="S240" s="370"/>
      <c r="T240" s="370"/>
      <c r="U240" s="370"/>
      <c r="V240" s="370"/>
      <c r="W240" s="370"/>
      <c r="X240" s="370"/>
      <c r="Y240" s="370"/>
      <c r="Z240" s="370"/>
      <c r="AA240" s="370"/>
      <c r="AB240" s="370"/>
      <c r="AC240" s="370"/>
      <c r="AD240" s="370"/>
      <c r="AE240" s="370"/>
      <c r="AF240" s="370"/>
      <c r="AG240" s="370"/>
      <c r="AH240" s="370"/>
    </row>
    <row r="241" spans="1:34" s="361" customFormat="1" ht="129" customHeight="1" x14ac:dyDescent="0.25">
      <c r="A241" s="959"/>
      <c r="B241" s="372" t="s">
        <v>967</v>
      </c>
      <c r="C241" s="373" t="s">
        <v>968</v>
      </c>
      <c r="D241" s="373" t="s">
        <v>969</v>
      </c>
      <c r="E241" s="365" t="s">
        <v>176</v>
      </c>
      <c r="F241" s="374">
        <v>25</v>
      </c>
      <c r="G241" s="374">
        <v>100</v>
      </c>
      <c r="H241" s="367">
        <v>34</v>
      </c>
      <c r="I241" s="367">
        <v>34</v>
      </c>
      <c r="J241" s="368">
        <f t="shared" si="27"/>
        <v>1</v>
      </c>
      <c r="K241" s="367"/>
      <c r="L241" s="367"/>
      <c r="M241" s="367" t="e">
        <f t="shared" si="28"/>
        <v>#DIV/0!</v>
      </c>
      <c r="N241" s="375" t="s">
        <v>1136</v>
      </c>
      <c r="O241" s="370"/>
      <c r="P241" s="371"/>
      <c r="Q241" s="370"/>
      <c r="R241" s="370"/>
      <c r="S241" s="370"/>
      <c r="T241" s="370"/>
      <c r="U241" s="370"/>
      <c r="V241" s="370"/>
      <c r="W241" s="370"/>
      <c r="X241" s="370"/>
      <c r="Y241" s="370"/>
      <c r="Z241" s="370"/>
      <c r="AA241" s="370"/>
      <c r="AB241" s="370"/>
      <c r="AC241" s="370"/>
      <c r="AD241" s="370"/>
      <c r="AE241" s="370"/>
      <c r="AF241" s="370"/>
      <c r="AG241" s="370"/>
      <c r="AH241" s="370"/>
    </row>
    <row r="242" spans="1:34" s="361" customFormat="1" ht="92.25" customHeight="1" x14ac:dyDescent="0.25">
      <c r="A242" s="959"/>
      <c r="B242" s="372" t="s">
        <v>971</v>
      </c>
      <c r="C242" s="373" t="s">
        <v>972</v>
      </c>
      <c r="D242" s="373" t="s">
        <v>973</v>
      </c>
      <c r="E242" s="365" t="s">
        <v>176</v>
      </c>
      <c r="F242" s="374">
        <v>25</v>
      </c>
      <c r="G242" s="374">
        <v>9</v>
      </c>
      <c r="H242" s="367">
        <v>3.3</v>
      </c>
      <c r="I242" s="367">
        <v>3.3</v>
      </c>
      <c r="J242" s="368">
        <f t="shared" si="27"/>
        <v>1</v>
      </c>
      <c r="K242" s="367"/>
      <c r="L242" s="367"/>
      <c r="M242" s="367" t="e">
        <f t="shared" si="28"/>
        <v>#DIV/0!</v>
      </c>
      <c r="N242" s="369" t="s">
        <v>1137</v>
      </c>
      <c r="O242" s="370"/>
      <c r="P242" s="371"/>
      <c r="Q242" s="370"/>
      <c r="R242" s="370"/>
      <c r="S242" s="370"/>
      <c r="T242" s="370"/>
      <c r="U242" s="370"/>
      <c r="V242" s="370"/>
      <c r="W242" s="370"/>
      <c r="X242" s="370"/>
      <c r="Y242" s="370"/>
      <c r="Z242" s="370"/>
      <c r="AA242" s="370"/>
      <c r="AB242" s="370"/>
      <c r="AC242" s="370"/>
      <c r="AD242" s="370"/>
      <c r="AE242" s="370"/>
      <c r="AF242" s="370"/>
      <c r="AG242" s="370"/>
      <c r="AH242" s="370"/>
    </row>
    <row r="243" spans="1:34" s="361" customFormat="1" ht="92.25" customHeight="1" x14ac:dyDescent="0.25">
      <c r="A243" s="960"/>
      <c r="B243" s="376" t="s">
        <v>999</v>
      </c>
      <c r="C243" s="377" t="s">
        <v>976</v>
      </c>
      <c r="D243" s="377" t="s">
        <v>977</v>
      </c>
      <c r="E243" s="365" t="s">
        <v>176</v>
      </c>
      <c r="F243" s="365">
        <v>25</v>
      </c>
      <c r="G243" s="365">
        <v>1</v>
      </c>
      <c r="H243" s="367">
        <v>0.15</v>
      </c>
      <c r="I243" s="367">
        <v>0.15</v>
      </c>
      <c r="J243" s="368">
        <f t="shared" si="27"/>
        <v>1</v>
      </c>
      <c r="K243" s="367"/>
      <c r="L243" s="367"/>
      <c r="M243" s="367" t="e">
        <f t="shared" si="28"/>
        <v>#DIV/0!</v>
      </c>
      <c r="N243" s="369" t="s">
        <v>1134</v>
      </c>
      <c r="O243" s="370"/>
      <c r="P243" s="371"/>
      <c r="Q243" s="370"/>
      <c r="R243" s="370"/>
      <c r="S243" s="370"/>
      <c r="T243" s="370"/>
      <c r="U243" s="370"/>
      <c r="V243" s="370"/>
      <c r="W243" s="370"/>
      <c r="X243" s="370"/>
      <c r="Y243" s="370"/>
      <c r="Z243" s="370"/>
      <c r="AA243" s="370"/>
      <c r="AB243" s="370"/>
      <c r="AC243" s="370"/>
      <c r="AD243" s="370"/>
      <c r="AE243" s="370"/>
      <c r="AF243" s="370"/>
      <c r="AG243" s="370"/>
      <c r="AH243" s="370"/>
    </row>
    <row r="244" spans="1:34" ht="15.75" hidden="1" customHeight="1" x14ac:dyDescent="0.25">
      <c r="A244" s="946" t="s">
        <v>1138</v>
      </c>
      <c r="B244" s="679"/>
      <c r="C244" s="679"/>
      <c r="D244" s="679"/>
      <c r="E244" s="679"/>
      <c r="F244" s="679"/>
      <c r="G244" s="679"/>
      <c r="H244" s="679"/>
      <c r="I244" s="679"/>
      <c r="J244" s="679"/>
      <c r="K244" s="679"/>
      <c r="L244" s="679"/>
      <c r="M244" s="679"/>
      <c r="N244" s="721"/>
    </row>
    <row r="245" spans="1:34" ht="44.25" hidden="1" customHeight="1" x14ac:dyDescent="0.25">
      <c r="A245" s="163" t="s">
        <v>28</v>
      </c>
      <c r="B245" s="164" t="s">
        <v>950</v>
      </c>
      <c r="C245" s="164" t="s">
        <v>951</v>
      </c>
      <c r="D245" s="164" t="s">
        <v>952</v>
      </c>
      <c r="E245" s="164" t="s">
        <v>953</v>
      </c>
      <c r="F245" s="164" t="s">
        <v>1139</v>
      </c>
      <c r="G245" s="164" t="s">
        <v>955</v>
      </c>
      <c r="H245" s="164" t="s">
        <v>1140</v>
      </c>
      <c r="I245" s="164" t="s">
        <v>1141</v>
      </c>
      <c r="J245" s="207" t="s">
        <v>1142</v>
      </c>
      <c r="K245" s="164" t="s">
        <v>959</v>
      </c>
      <c r="L245" s="164" t="s">
        <v>960</v>
      </c>
      <c r="M245" s="164" t="s">
        <v>961</v>
      </c>
      <c r="N245" s="165" t="s">
        <v>962</v>
      </c>
    </row>
    <row r="246" spans="1:34" ht="16.5" hidden="1" customHeight="1" x14ac:dyDescent="0.25">
      <c r="A246" s="175" t="s">
        <v>939</v>
      </c>
      <c r="B246" s="167"/>
      <c r="C246" s="168"/>
      <c r="D246" s="168"/>
      <c r="E246" s="158"/>
      <c r="F246" s="158"/>
      <c r="G246" s="158"/>
      <c r="H246" s="158"/>
      <c r="I246" s="158"/>
      <c r="J246" s="208" t="e">
        <f t="shared" ref="J246:J257" si="29">I246/H246</f>
        <v>#DIV/0!</v>
      </c>
      <c r="K246" s="158"/>
      <c r="L246" s="158"/>
      <c r="M246" s="158" t="e">
        <f t="shared" ref="M246:M257" si="30">L246/K246</f>
        <v>#DIV/0!</v>
      </c>
      <c r="N246" s="209"/>
    </row>
    <row r="247" spans="1:34" ht="16.5" hidden="1" customHeight="1" x14ac:dyDescent="0.25">
      <c r="A247" s="175" t="s">
        <v>940</v>
      </c>
      <c r="B247" s="167"/>
      <c r="C247" s="168"/>
      <c r="D247" s="168"/>
      <c r="E247" s="158"/>
      <c r="F247" s="158"/>
      <c r="G247" s="158"/>
      <c r="H247" s="158"/>
      <c r="I247" s="158"/>
      <c r="J247" s="208" t="e">
        <f t="shared" si="29"/>
        <v>#DIV/0!</v>
      </c>
      <c r="K247" s="158"/>
      <c r="L247" s="158"/>
      <c r="M247" s="158" t="e">
        <f t="shared" si="30"/>
        <v>#DIV/0!</v>
      </c>
      <c r="N247" s="209"/>
    </row>
    <row r="248" spans="1:34" ht="16.5" hidden="1" customHeight="1" x14ac:dyDescent="0.25">
      <c r="A248" s="175" t="s">
        <v>941</v>
      </c>
      <c r="B248" s="167"/>
      <c r="C248" s="168"/>
      <c r="D248" s="168"/>
      <c r="E248" s="158"/>
      <c r="F248" s="158"/>
      <c r="G248" s="158"/>
      <c r="H248" s="158"/>
      <c r="I248" s="158"/>
      <c r="J248" s="208" t="e">
        <f t="shared" si="29"/>
        <v>#DIV/0!</v>
      </c>
      <c r="K248" s="158"/>
      <c r="L248" s="158"/>
      <c r="M248" s="158" t="e">
        <f t="shared" si="30"/>
        <v>#DIV/0!</v>
      </c>
      <c r="N248" s="209"/>
    </row>
    <row r="249" spans="1:34" ht="16.5" hidden="1" customHeight="1" x14ac:dyDescent="0.25">
      <c r="A249" s="175" t="s">
        <v>942</v>
      </c>
      <c r="B249" s="167"/>
      <c r="C249" s="168"/>
      <c r="D249" s="168"/>
      <c r="E249" s="158"/>
      <c r="F249" s="158"/>
      <c r="G249" s="158"/>
      <c r="H249" s="158"/>
      <c r="I249" s="158"/>
      <c r="J249" s="208" t="e">
        <f t="shared" si="29"/>
        <v>#DIV/0!</v>
      </c>
      <c r="K249" s="158"/>
      <c r="L249" s="158"/>
      <c r="M249" s="158" t="e">
        <f t="shared" si="30"/>
        <v>#DIV/0!</v>
      </c>
      <c r="N249" s="209"/>
    </row>
    <row r="250" spans="1:34" ht="16.5" hidden="1" customHeight="1" x14ac:dyDescent="0.25">
      <c r="A250" s="175" t="s">
        <v>943</v>
      </c>
      <c r="B250" s="167"/>
      <c r="C250" s="168"/>
      <c r="D250" s="168"/>
      <c r="E250" s="158"/>
      <c r="F250" s="158"/>
      <c r="G250" s="158"/>
      <c r="H250" s="158"/>
      <c r="I250" s="158"/>
      <c r="J250" s="208" t="e">
        <f t="shared" si="29"/>
        <v>#DIV/0!</v>
      </c>
      <c r="K250" s="158"/>
      <c r="L250" s="158"/>
      <c r="M250" s="158" t="e">
        <f t="shared" si="30"/>
        <v>#DIV/0!</v>
      </c>
      <c r="N250" s="209"/>
    </row>
    <row r="251" spans="1:34" ht="16.5" hidden="1" customHeight="1" x14ac:dyDescent="0.25">
      <c r="A251" s="175" t="s">
        <v>944</v>
      </c>
      <c r="B251" s="167"/>
      <c r="C251" s="168"/>
      <c r="D251" s="168"/>
      <c r="E251" s="158"/>
      <c r="F251" s="158"/>
      <c r="G251" s="158"/>
      <c r="H251" s="158"/>
      <c r="I251" s="158"/>
      <c r="J251" s="208" t="e">
        <f t="shared" si="29"/>
        <v>#DIV/0!</v>
      </c>
      <c r="K251" s="158"/>
      <c r="L251" s="158"/>
      <c r="M251" s="158" t="e">
        <f t="shared" si="30"/>
        <v>#DIV/0!</v>
      </c>
      <c r="N251" s="209"/>
    </row>
    <row r="252" spans="1:34" ht="15.75" hidden="1" customHeight="1" x14ac:dyDescent="0.25">
      <c r="A252" s="175" t="s">
        <v>931</v>
      </c>
      <c r="B252" s="167"/>
      <c r="C252" s="168"/>
      <c r="D252" s="168"/>
      <c r="E252" s="158"/>
      <c r="F252" s="158"/>
      <c r="G252" s="158"/>
      <c r="H252" s="158"/>
      <c r="I252" s="158"/>
      <c r="J252" s="208" t="e">
        <f t="shared" si="29"/>
        <v>#DIV/0!</v>
      </c>
      <c r="K252" s="158"/>
      <c r="L252" s="158"/>
      <c r="M252" s="158" t="e">
        <f t="shared" si="30"/>
        <v>#DIV/0!</v>
      </c>
      <c r="N252" s="209"/>
    </row>
    <row r="253" spans="1:34" ht="15.75" hidden="1" customHeight="1" x14ac:dyDescent="0.25">
      <c r="A253" s="175" t="s">
        <v>932</v>
      </c>
      <c r="B253" s="167"/>
      <c r="C253" s="168"/>
      <c r="D253" s="168"/>
      <c r="E253" s="158"/>
      <c r="F253" s="158"/>
      <c r="G253" s="158"/>
      <c r="H253" s="158"/>
      <c r="I253" s="158"/>
      <c r="J253" s="208" t="e">
        <f t="shared" si="29"/>
        <v>#DIV/0!</v>
      </c>
      <c r="K253" s="158"/>
      <c r="L253" s="158"/>
      <c r="M253" s="158" t="e">
        <f t="shared" si="30"/>
        <v>#DIV/0!</v>
      </c>
      <c r="N253" s="209"/>
    </row>
    <row r="254" spans="1:34" ht="15.75" hidden="1" customHeight="1" x14ac:dyDescent="0.25">
      <c r="A254" s="175" t="s">
        <v>933</v>
      </c>
      <c r="B254" s="167"/>
      <c r="C254" s="168"/>
      <c r="D254" s="168"/>
      <c r="E254" s="158"/>
      <c r="F254" s="158"/>
      <c r="G254" s="158"/>
      <c r="H254" s="158"/>
      <c r="I254" s="158"/>
      <c r="J254" s="208" t="e">
        <f t="shared" si="29"/>
        <v>#DIV/0!</v>
      </c>
      <c r="K254" s="158"/>
      <c r="L254" s="158"/>
      <c r="M254" s="158" t="e">
        <f t="shared" si="30"/>
        <v>#DIV/0!</v>
      </c>
      <c r="N254" s="209"/>
    </row>
    <row r="255" spans="1:34" ht="15.75" hidden="1" customHeight="1" x14ac:dyDescent="0.25">
      <c r="A255" s="175" t="s">
        <v>934</v>
      </c>
      <c r="B255" s="167"/>
      <c r="C255" s="168"/>
      <c r="D255" s="168"/>
      <c r="E255" s="158"/>
      <c r="F255" s="158"/>
      <c r="G255" s="158"/>
      <c r="H255" s="158"/>
      <c r="I255" s="158"/>
      <c r="J255" s="208" t="e">
        <f t="shared" si="29"/>
        <v>#DIV/0!</v>
      </c>
      <c r="K255" s="158"/>
      <c r="L255" s="158"/>
      <c r="M255" s="158" t="e">
        <f t="shared" si="30"/>
        <v>#DIV/0!</v>
      </c>
      <c r="N255" s="209"/>
    </row>
    <row r="256" spans="1:34" ht="15.75" hidden="1" customHeight="1" x14ac:dyDescent="0.25">
      <c r="A256" s="175" t="s">
        <v>936</v>
      </c>
      <c r="B256" s="167"/>
      <c r="C256" s="168"/>
      <c r="D256" s="168"/>
      <c r="E256" s="158"/>
      <c r="F256" s="158"/>
      <c r="G256" s="158"/>
      <c r="H256" s="158"/>
      <c r="I256" s="158"/>
      <c r="J256" s="208" t="e">
        <f t="shared" si="29"/>
        <v>#DIV/0!</v>
      </c>
      <c r="K256" s="158"/>
      <c r="L256" s="158"/>
      <c r="M256" s="158" t="e">
        <f t="shared" si="30"/>
        <v>#DIV/0!</v>
      </c>
      <c r="N256" s="209"/>
    </row>
    <row r="257" spans="1:14" ht="15.75" hidden="1" customHeight="1" x14ac:dyDescent="0.25">
      <c r="A257" s="179" t="s">
        <v>937</v>
      </c>
      <c r="B257" s="204"/>
      <c r="C257" s="205"/>
      <c r="D257" s="205"/>
      <c r="E257" s="206"/>
      <c r="F257" s="206"/>
      <c r="G257" s="206"/>
      <c r="H257" s="206"/>
      <c r="I257" s="206"/>
      <c r="J257" s="277" t="e">
        <f t="shared" si="29"/>
        <v>#DIV/0!</v>
      </c>
      <c r="K257" s="206"/>
      <c r="L257" s="206"/>
      <c r="M257" s="206" t="e">
        <f t="shared" si="30"/>
        <v>#DIV/0!</v>
      </c>
      <c r="N257" s="278"/>
    </row>
    <row r="258" spans="1:14" ht="15.75" customHeight="1" x14ac:dyDescent="0.25">
      <c r="B258" s="161"/>
      <c r="C258" s="162"/>
      <c r="D258" s="162"/>
      <c r="J258" s="125"/>
      <c r="N258" s="162"/>
    </row>
    <row r="259" spans="1:14" ht="15.75" customHeight="1" x14ac:dyDescent="0.25">
      <c r="B259" s="161"/>
      <c r="C259" s="162"/>
      <c r="D259" s="162"/>
      <c r="J259" s="125"/>
      <c r="N259" s="162"/>
    </row>
    <row r="260" spans="1:14" ht="26.25" customHeight="1" x14ac:dyDescent="0.3">
      <c r="A260" s="956" t="s">
        <v>1143</v>
      </c>
      <c r="B260" s="679"/>
      <c r="C260" s="679"/>
      <c r="D260" s="679"/>
      <c r="E260" s="679"/>
      <c r="F260" s="679"/>
      <c r="G260" s="721"/>
      <c r="J260" s="125"/>
      <c r="N260" s="162"/>
    </row>
    <row r="261" spans="1:14" ht="15.75" customHeight="1" x14ac:dyDescent="0.25">
      <c r="A261" s="163" t="s">
        <v>24</v>
      </c>
      <c r="B261" s="136" t="s">
        <v>950</v>
      </c>
      <c r="C261" s="136" t="s">
        <v>951</v>
      </c>
      <c r="D261" s="136" t="s">
        <v>1144</v>
      </c>
      <c r="E261" s="136" t="s">
        <v>1145</v>
      </c>
      <c r="F261" s="136" t="s">
        <v>1146</v>
      </c>
      <c r="G261" s="279" t="s">
        <v>1147</v>
      </c>
      <c r="J261" s="125"/>
      <c r="N261" s="162"/>
    </row>
    <row r="262" spans="1:14" ht="15.75" customHeight="1" x14ac:dyDescent="0.25">
      <c r="A262" s="964" t="s">
        <v>934</v>
      </c>
      <c r="B262" s="957" t="s">
        <v>963</v>
      </c>
      <c r="C262" s="957" t="s">
        <v>964</v>
      </c>
      <c r="D262" s="280" t="s">
        <v>344</v>
      </c>
      <c r="E262" s="281">
        <v>384597000</v>
      </c>
      <c r="F262" s="281">
        <v>275950662</v>
      </c>
      <c r="G262" s="282"/>
      <c r="J262" s="125"/>
      <c r="N262" s="162"/>
    </row>
    <row r="263" spans="1:14" ht="15.75" customHeight="1" x14ac:dyDescent="0.25">
      <c r="A263" s="948"/>
      <c r="B263" s="694"/>
      <c r="C263" s="694"/>
      <c r="D263" s="280" t="s">
        <v>355</v>
      </c>
      <c r="E263" s="281">
        <v>140462163</v>
      </c>
      <c r="F263" s="281">
        <v>96803829</v>
      </c>
      <c r="G263" s="282"/>
      <c r="J263" s="125"/>
      <c r="N263" s="162"/>
    </row>
    <row r="264" spans="1:14" ht="15.75" customHeight="1" x14ac:dyDescent="0.25">
      <c r="A264" s="948"/>
      <c r="B264" s="733"/>
      <c r="C264" s="733"/>
      <c r="D264" s="280" t="s">
        <v>358</v>
      </c>
      <c r="E264" s="281">
        <v>13280000</v>
      </c>
      <c r="F264" s="281">
        <v>9561600</v>
      </c>
      <c r="G264" s="282"/>
      <c r="J264" s="125"/>
      <c r="N264" s="162"/>
    </row>
    <row r="265" spans="1:14" ht="165" customHeight="1" x14ac:dyDescent="0.25">
      <c r="A265" s="948"/>
      <c r="B265" s="965" t="s">
        <v>967</v>
      </c>
      <c r="C265" s="965" t="s">
        <v>968</v>
      </c>
      <c r="D265" s="283" t="s">
        <v>362</v>
      </c>
      <c r="E265" s="284">
        <v>95347000</v>
      </c>
      <c r="F265" s="284">
        <v>69916766</v>
      </c>
      <c r="G265" s="285"/>
      <c r="J265" s="125"/>
      <c r="N265" s="162"/>
    </row>
    <row r="266" spans="1:14" ht="15.75" customHeight="1" x14ac:dyDescent="0.25">
      <c r="A266" s="948"/>
      <c r="B266" s="694"/>
      <c r="C266" s="694"/>
      <c r="D266" s="283" t="s">
        <v>1148</v>
      </c>
      <c r="E266" s="284">
        <v>714428327</v>
      </c>
      <c r="F266" s="284">
        <v>457708649</v>
      </c>
      <c r="G266" s="285"/>
      <c r="J266" s="125"/>
      <c r="N266" s="162"/>
    </row>
    <row r="267" spans="1:14" ht="15.75" customHeight="1" x14ac:dyDescent="0.25">
      <c r="A267" s="948"/>
      <c r="B267" s="694"/>
      <c r="C267" s="694"/>
      <c r="D267" s="283" t="s">
        <v>1149</v>
      </c>
      <c r="E267" s="284">
        <v>109624000</v>
      </c>
      <c r="F267" s="284">
        <v>78749767</v>
      </c>
      <c r="G267" s="285"/>
      <c r="J267" s="125"/>
      <c r="N267" s="162"/>
    </row>
    <row r="268" spans="1:14" ht="15.75" customHeight="1" x14ac:dyDescent="0.25">
      <c r="A268" s="948"/>
      <c r="B268" s="733"/>
      <c r="C268" s="733"/>
      <c r="D268" s="283" t="s">
        <v>891</v>
      </c>
      <c r="E268" s="284">
        <v>218352000</v>
      </c>
      <c r="F268" s="284">
        <v>155650933</v>
      </c>
      <c r="G268" s="285"/>
      <c r="J268" s="125"/>
      <c r="N268" s="162"/>
    </row>
    <row r="269" spans="1:14" ht="15.75" customHeight="1" x14ac:dyDescent="0.25">
      <c r="A269" s="948"/>
      <c r="B269" s="30" t="s">
        <v>971</v>
      </c>
      <c r="C269" s="222" t="s">
        <v>972</v>
      </c>
      <c r="D269" s="283" t="s">
        <v>1150</v>
      </c>
      <c r="E269" s="284">
        <v>156172000</v>
      </c>
      <c r="F269" s="284">
        <v>104387600</v>
      </c>
      <c r="G269" s="285"/>
      <c r="J269" s="125"/>
      <c r="N269" s="162"/>
    </row>
    <row r="270" spans="1:14" ht="150" customHeight="1" x14ac:dyDescent="0.25">
      <c r="A270" s="948"/>
      <c r="B270" s="965" t="s">
        <v>975</v>
      </c>
      <c r="C270" s="965" t="s">
        <v>976</v>
      </c>
      <c r="D270" s="283" t="s">
        <v>912</v>
      </c>
      <c r="E270" s="284">
        <v>463576000</v>
      </c>
      <c r="F270" s="284">
        <v>264216147</v>
      </c>
      <c r="G270" s="285"/>
      <c r="J270" s="125"/>
      <c r="N270" s="162"/>
    </row>
    <row r="271" spans="1:14" ht="15.75" customHeight="1" x14ac:dyDescent="0.25">
      <c r="A271" s="953"/>
      <c r="B271" s="733"/>
      <c r="C271" s="733"/>
      <c r="D271" s="283" t="s">
        <v>381</v>
      </c>
      <c r="E271" s="284">
        <v>225075000</v>
      </c>
      <c r="F271" s="284">
        <v>137968914</v>
      </c>
      <c r="G271" s="285"/>
      <c r="J271" s="125"/>
      <c r="N271" s="162"/>
    </row>
    <row r="272" spans="1:14" ht="15.75" customHeight="1" x14ac:dyDescent="0.25">
      <c r="A272" s="173" t="s">
        <v>936</v>
      </c>
      <c r="B272" s="286"/>
      <c r="C272" s="287"/>
      <c r="D272" s="287"/>
      <c r="E272" s="288"/>
      <c r="F272" s="288"/>
      <c r="G272" s="289"/>
      <c r="J272" s="125"/>
      <c r="N272" s="162"/>
    </row>
    <row r="273" spans="1:34" ht="15.75" customHeight="1" x14ac:dyDescent="0.25">
      <c r="A273" s="173" t="s">
        <v>937</v>
      </c>
      <c r="B273" s="286"/>
      <c r="C273" s="287"/>
      <c r="D273" s="287"/>
      <c r="E273" s="288"/>
      <c r="F273" s="288"/>
      <c r="G273" s="289"/>
      <c r="J273" s="125"/>
      <c r="N273" s="162"/>
    </row>
    <row r="274" spans="1:34" ht="15.75" customHeight="1" x14ac:dyDescent="0.25">
      <c r="B274" s="161"/>
      <c r="C274" s="162"/>
      <c r="D274" s="162"/>
      <c r="J274" s="125"/>
      <c r="N274" s="162"/>
    </row>
    <row r="275" spans="1:34" ht="15.75" customHeight="1" x14ac:dyDescent="0.3">
      <c r="A275" s="956" t="s">
        <v>1151</v>
      </c>
      <c r="B275" s="679"/>
      <c r="C275" s="679"/>
      <c r="D275" s="679"/>
      <c r="E275" s="679"/>
      <c r="F275" s="679"/>
      <c r="G275" s="721"/>
      <c r="J275" s="125"/>
      <c r="N275" s="162"/>
    </row>
    <row r="276" spans="1:34" ht="66" customHeight="1" x14ac:dyDescent="0.25">
      <c r="A276" s="163" t="s">
        <v>25</v>
      </c>
      <c r="B276" s="136" t="s">
        <v>950</v>
      </c>
      <c r="C276" s="136" t="s">
        <v>951</v>
      </c>
      <c r="D276" s="136" t="s">
        <v>1144</v>
      </c>
      <c r="E276" s="136" t="s">
        <v>1152</v>
      </c>
      <c r="F276" s="136" t="s">
        <v>1153</v>
      </c>
      <c r="G276" s="279" t="s">
        <v>1147</v>
      </c>
      <c r="J276" s="125"/>
      <c r="N276" s="162"/>
    </row>
    <row r="277" spans="1:34" ht="69.75" customHeight="1" x14ac:dyDescent="0.25">
      <c r="A277" s="952" t="s">
        <v>939</v>
      </c>
      <c r="B277" s="957" t="s">
        <v>963</v>
      </c>
      <c r="C277" s="957" t="s">
        <v>964</v>
      </c>
      <c r="D277" s="290" t="s">
        <v>344</v>
      </c>
      <c r="E277" s="291">
        <v>574654000</v>
      </c>
      <c r="F277" s="61">
        <v>0</v>
      </c>
      <c r="G277" s="292"/>
      <c r="H277" s="88"/>
      <c r="I277" s="88"/>
      <c r="J277" s="293"/>
      <c r="K277" s="88"/>
      <c r="L277" s="88"/>
      <c r="M277" s="88"/>
      <c r="N277" s="294"/>
      <c r="O277" s="88"/>
      <c r="P277" s="88"/>
      <c r="Q277" s="88"/>
      <c r="R277" s="88"/>
      <c r="S277" s="88"/>
      <c r="T277" s="88"/>
      <c r="U277" s="88"/>
      <c r="V277" s="88"/>
      <c r="W277" s="88"/>
      <c r="X277" s="88"/>
      <c r="Y277" s="88"/>
      <c r="Z277" s="88"/>
      <c r="AA277" s="88"/>
      <c r="AB277" s="88"/>
      <c r="AC277" s="88"/>
      <c r="AD277" s="88"/>
      <c r="AE277" s="88"/>
      <c r="AF277" s="88"/>
      <c r="AG277" s="88"/>
      <c r="AH277" s="88"/>
    </row>
    <row r="278" spans="1:34" ht="69.75" customHeight="1" x14ac:dyDescent="0.25">
      <c r="A278" s="948"/>
      <c r="B278" s="694"/>
      <c r="C278" s="694"/>
      <c r="D278" s="290" t="s">
        <v>355</v>
      </c>
      <c r="E278" s="291">
        <v>198130000</v>
      </c>
      <c r="F278" s="61">
        <v>0</v>
      </c>
      <c r="G278" s="292"/>
      <c r="H278" s="88"/>
      <c r="I278" s="88"/>
      <c r="J278" s="293"/>
      <c r="K278" s="88"/>
      <c r="L278" s="88"/>
      <c r="M278" s="88"/>
      <c r="N278" s="294"/>
      <c r="O278" s="88"/>
      <c r="P278" s="88"/>
      <c r="Q278" s="88"/>
      <c r="R278" s="88"/>
      <c r="S278" s="88"/>
      <c r="T278" s="88"/>
      <c r="U278" s="88"/>
      <c r="V278" s="88"/>
      <c r="W278" s="88"/>
      <c r="X278" s="88"/>
      <c r="Y278" s="88"/>
      <c r="Z278" s="88"/>
      <c r="AA278" s="88"/>
      <c r="AB278" s="88"/>
      <c r="AC278" s="88"/>
      <c r="AD278" s="88"/>
      <c r="AE278" s="88"/>
      <c r="AF278" s="88"/>
      <c r="AG278" s="88"/>
      <c r="AH278" s="88"/>
    </row>
    <row r="279" spans="1:34" ht="69.75" customHeight="1" x14ac:dyDescent="0.25">
      <c r="A279" s="948"/>
      <c r="B279" s="733"/>
      <c r="C279" s="733"/>
      <c r="D279" s="290" t="s">
        <v>358</v>
      </c>
      <c r="E279" s="291">
        <v>34285000</v>
      </c>
      <c r="F279" s="61">
        <v>0</v>
      </c>
      <c r="G279" s="292"/>
      <c r="H279" s="88"/>
      <c r="I279" s="88"/>
      <c r="J279" s="293"/>
      <c r="K279" s="88"/>
      <c r="L279" s="88"/>
      <c r="M279" s="88"/>
      <c r="N279" s="294"/>
      <c r="O279" s="88"/>
      <c r="P279" s="88"/>
      <c r="Q279" s="88"/>
      <c r="R279" s="88"/>
      <c r="S279" s="88"/>
      <c r="T279" s="88"/>
      <c r="U279" s="88"/>
      <c r="V279" s="88"/>
      <c r="W279" s="88"/>
      <c r="X279" s="88"/>
      <c r="Y279" s="88"/>
      <c r="Z279" s="88"/>
      <c r="AA279" s="88"/>
      <c r="AB279" s="88"/>
      <c r="AC279" s="88"/>
      <c r="AD279" s="88"/>
      <c r="AE279" s="88"/>
      <c r="AF279" s="88"/>
      <c r="AG279" s="88"/>
      <c r="AH279" s="88"/>
    </row>
    <row r="280" spans="1:34" ht="69.75" customHeight="1" x14ac:dyDescent="0.25">
      <c r="A280" s="948"/>
      <c r="B280" s="965" t="s">
        <v>967</v>
      </c>
      <c r="C280" s="965" t="s">
        <v>968</v>
      </c>
      <c r="D280" s="295" t="s">
        <v>362</v>
      </c>
      <c r="E280" s="291">
        <v>68299000</v>
      </c>
      <c r="F280" s="61">
        <v>0</v>
      </c>
      <c r="G280" s="292"/>
      <c r="H280" s="88"/>
      <c r="I280" s="88"/>
      <c r="J280" s="293"/>
      <c r="K280" s="88"/>
      <c r="L280" s="88"/>
      <c r="M280" s="88"/>
      <c r="N280" s="294"/>
      <c r="O280" s="88"/>
      <c r="P280" s="88"/>
      <c r="Q280" s="88"/>
      <c r="R280" s="88"/>
      <c r="S280" s="88"/>
      <c r="T280" s="88"/>
      <c r="U280" s="88"/>
      <c r="V280" s="88"/>
      <c r="W280" s="88"/>
      <c r="X280" s="88"/>
      <c r="Y280" s="88"/>
      <c r="Z280" s="88"/>
      <c r="AA280" s="88"/>
      <c r="AB280" s="88"/>
      <c r="AC280" s="88"/>
      <c r="AD280" s="88"/>
      <c r="AE280" s="88"/>
      <c r="AF280" s="88"/>
      <c r="AG280" s="88"/>
      <c r="AH280" s="88"/>
    </row>
    <row r="281" spans="1:34" ht="69.75" customHeight="1" x14ac:dyDescent="0.25">
      <c r="A281" s="948"/>
      <c r="B281" s="694"/>
      <c r="C281" s="694"/>
      <c r="D281" s="295" t="s">
        <v>1148</v>
      </c>
      <c r="E281" s="291">
        <v>699388000</v>
      </c>
      <c r="F281" s="61">
        <v>0</v>
      </c>
      <c r="G281" s="292"/>
      <c r="H281" s="88"/>
      <c r="I281" s="88"/>
      <c r="J281" s="293"/>
      <c r="K281" s="88"/>
      <c r="L281" s="88"/>
      <c r="M281" s="88"/>
      <c r="N281" s="294"/>
      <c r="O281" s="88"/>
      <c r="P281" s="88"/>
      <c r="Q281" s="88"/>
      <c r="R281" s="88"/>
      <c r="S281" s="88"/>
      <c r="T281" s="88"/>
      <c r="U281" s="88"/>
      <c r="V281" s="88"/>
      <c r="W281" s="88"/>
      <c r="X281" s="88"/>
      <c r="Y281" s="88"/>
      <c r="Z281" s="88"/>
      <c r="AA281" s="88"/>
      <c r="AB281" s="88"/>
      <c r="AC281" s="88"/>
      <c r="AD281" s="88"/>
      <c r="AE281" s="88"/>
      <c r="AF281" s="88"/>
      <c r="AG281" s="88"/>
      <c r="AH281" s="88"/>
    </row>
    <row r="282" spans="1:34" ht="69.75" customHeight="1" x14ac:dyDescent="0.25">
      <c r="A282" s="948"/>
      <c r="B282" s="694"/>
      <c r="C282" s="694"/>
      <c r="D282" s="295" t="s">
        <v>1149</v>
      </c>
      <c r="E282" s="291">
        <v>349839000</v>
      </c>
      <c r="F282" s="61">
        <v>0</v>
      </c>
      <c r="G282" s="292"/>
      <c r="H282" s="88"/>
      <c r="I282" s="88"/>
      <c r="J282" s="293"/>
      <c r="K282" s="88"/>
      <c r="L282" s="88"/>
      <c r="M282" s="88"/>
      <c r="N282" s="294"/>
      <c r="O282" s="88"/>
      <c r="P282" s="88"/>
      <c r="Q282" s="88"/>
      <c r="R282" s="88"/>
      <c r="S282" s="88"/>
      <c r="T282" s="88"/>
      <c r="U282" s="88"/>
      <c r="V282" s="88"/>
      <c r="W282" s="88"/>
      <c r="X282" s="88"/>
      <c r="Y282" s="88"/>
      <c r="Z282" s="88"/>
      <c r="AA282" s="88"/>
      <c r="AB282" s="88"/>
      <c r="AC282" s="88"/>
      <c r="AD282" s="88"/>
      <c r="AE282" s="88"/>
      <c r="AF282" s="88"/>
      <c r="AG282" s="88"/>
      <c r="AH282" s="88"/>
    </row>
    <row r="283" spans="1:34" ht="69.75" customHeight="1" x14ac:dyDescent="0.25">
      <c r="A283" s="948"/>
      <c r="B283" s="733"/>
      <c r="C283" s="733"/>
      <c r="D283" s="295" t="s">
        <v>891</v>
      </c>
      <c r="E283" s="296">
        <v>482999000</v>
      </c>
      <c r="F283" s="297">
        <v>0</v>
      </c>
      <c r="G283" s="298"/>
      <c r="H283" s="88"/>
      <c r="I283" s="88"/>
      <c r="J283" s="293"/>
      <c r="K283" s="88"/>
      <c r="L283" s="88"/>
      <c r="M283" s="88"/>
      <c r="N283" s="294"/>
      <c r="O283" s="88"/>
      <c r="P283" s="88"/>
      <c r="Q283" s="88"/>
      <c r="R283" s="88"/>
      <c r="S283" s="88"/>
      <c r="T283" s="88"/>
      <c r="U283" s="88"/>
      <c r="V283" s="88"/>
      <c r="W283" s="88"/>
      <c r="X283" s="88"/>
      <c r="Y283" s="88"/>
      <c r="Z283" s="88"/>
      <c r="AA283" s="88"/>
      <c r="AB283" s="88"/>
      <c r="AC283" s="88"/>
      <c r="AD283" s="88"/>
      <c r="AE283" s="88"/>
      <c r="AF283" s="88"/>
      <c r="AG283" s="88"/>
      <c r="AH283" s="88"/>
    </row>
    <row r="284" spans="1:34" ht="69.75" customHeight="1" x14ac:dyDescent="0.25">
      <c r="A284" s="948"/>
      <c r="B284" s="30" t="s">
        <v>971</v>
      </c>
      <c r="C284" s="30" t="s">
        <v>972</v>
      </c>
      <c r="D284" s="295" t="s">
        <v>1150</v>
      </c>
      <c r="E284" s="291">
        <v>250350000</v>
      </c>
      <c r="F284" s="61">
        <v>0</v>
      </c>
      <c r="G284" s="292"/>
      <c r="H284" s="88"/>
      <c r="I284" s="88"/>
      <c r="J284" s="293"/>
      <c r="K284" s="88"/>
      <c r="L284" s="88"/>
      <c r="M284" s="88"/>
      <c r="N284" s="294"/>
      <c r="O284" s="88"/>
      <c r="P284" s="88"/>
      <c r="Q284" s="88"/>
      <c r="R284" s="88"/>
      <c r="S284" s="88"/>
      <c r="T284" s="88"/>
      <c r="U284" s="88"/>
      <c r="V284" s="88"/>
      <c r="W284" s="88"/>
      <c r="X284" s="88"/>
      <c r="Y284" s="88"/>
      <c r="Z284" s="88"/>
      <c r="AA284" s="88"/>
      <c r="AB284" s="88"/>
      <c r="AC284" s="88"/>
      <c r="AD284" s="88"/>
      <c r="AE284" s="88"/>
      <c r="AF284" s="88"/>
      <c r="AG284" s="88"/>
      <c r="AH284" s="88"/>
    </row>
    <row r="285" spans="1:34" ht="69.75" customHeight="1" x14ac:dyDescent="0.25">
      <c r="A285" s="953"/>
      <c r="B285" s="30" t="s">
        <v>975</v>
      </c>
      <c r="C285" s="30" t="s">
        <v>976</v>
      </c>
      <c r="D285" s="295" t="s">
        <v>381</v>
      </c>
      <c r="E285" s="291">
        <v>801561000</v>
      </c>
      <c r="F285" s="61">
        <v>0</v>
      </c>
      <c r="G285" s="292"/>
      <c r="H285" s="88"/>
      <c r="I285" s="88"/>
      <c r="J285" s="293"/>
      <c r="K285" s="88"/>
      <c r="L285" s="88"/>
      <c r="M285" s="88"/>
      <c r="N285" s="294"/>
      <c r="O285" s="88"/>
      <c r="P285" s="88"/>
      <c r="Q285" s="88"/>
      <c r="R285" s="88"/>
      <c r="S285" s="88"/>
      <c r="T285" s="88"/>
      <c r="U285" s="88"/>
      <c r="V285" s="88"/>
      <c r="W285" s="88"/>
      <c r="X285" s="88"/>
      <c r="Y285" s="88"/>
      <c r="Z285" s="88"/>
      <c r="AA285" s="88"/>
      <c r="AB285" s="88"/>
      <c r="AC285" s="88"/>
      <c r="AD285" s="88"/>
      <c r="AE285" s="88"/>
      <c r="AF285" s="88"/>
      <c r="AG285" s="88"/>
      <c r="AH285" s="88"/>
    </row>
    <row r="286" spans="1:34" ht="69.75" customHeight="1" x14ac:dyDescent="0.25">
      <c r="A286" s="952" t="s">
        <v>940</v>
      </c>
      <c r="B286" s="957" t="s">
        <v>963</v>
      </c>
      <c r="C286" s="957" t="s">
        <v>964</v>
      </c>
      <c r="D286" s="290" t="s">
        <v>344</v>
      </c>
      <c r="E286" s="291">
        <v>574654000</v>
      </c>
      <c r="F286" s="61">
        <v>0</v>
      </c>
      <c r="G286" s="292"/>
      <c r="H286" s="88"/>
      <c r="I286" s="88"/>
      <c r="J286" s="293"/>
      <c r="K286" s="88"/>
      <c r="L286" s="88"/>
      <c r="M286" s="88"/>
      <c r="N286" s="294"/>
      <c r="O286" s="88"/>
      <c r="P286" s="88"/>
      <c r="Q286" s="88"/>
      <c r="R286" s="88"/>
      <c r="S286" s="88"/>
      <c r="T286" s="88"/>
      <c r="U286" s="88"/>
      <c r="V286" s="88"/>
      <c r="W286" s="88"/>
      <c r="X286" s="88"/>
      <c r="Y286" s="88"/>
      <c r="Z286" s="88"/>
      <c r="AA286" s="88"/>
      <c r="AB286" s="88"/>
      <c r="AC286" s="88"/>
      <c r="AD286" s="88"/>
      <c r="AE286" s="88"/>
      <c r="AF286" s="88"/>
      <c r="AG286" s="88"/>
      <c r="AH286" s="88"/>
    </row>
    <row r="287" spans="1:34" ht="69.75" customHeight="1" x14ac:dyDescent="0.25">
      <c r="A287" s="948"/>
      <c r="B287" s="694"/>
      <c r="C287" s="694"/>
      <c r="D287" s="290" t="s">
        <v>355</v>
      </c>
      <c r="E287" s="291">
        <v>198130000</v>
      </c>
      <c r="F287" s="61">
        <v>0</v>
      </c>
      <c r="G287" s="292"/>
      <c r="H287" s="88"/>
      <c r="I287" s="88"/>
      <c r="J287" s="293"/>
      <c r="K287" s="88"/>
      <c r="L287" s="88"/>
      <c r="M287" s="88"/>
      <c r="N287" s="294"/>
      <c r="O287" s="88"/>
      <c r="P287" s="88"/>
      <c r="Q287" s="88"/>
      <c r="R287" s="88"/>
      <c r="S287" s="88"/>
      <c r="T287" s="88"/>
      <c r="U287" s="88"/>
      <c r="V287" s="88"/>
      <c r="W287" s="88"/>
      <c r="X287" s="88"/>
      <c r="Y287" s="88"/>
      <c r="Z287" s="88"/>
      <c r="AA287" s="88"/>
      <c r="AB287" s="88"/>
      <c r="AC287" s="88"/>
      <c r="AD287" s="88"/>
      <c r="AE287" s="88"/>
      <c r="AF287" s="88"/>
      <c r="AG287" s="88"/>
      <c r="AH287" s="88"/>
    </row>
    <row r="288" spans="1:34" ht="69.75" customHeight="1" x14ac:dyDescent="0.25">
      <c r="A288" s="948"/>
      <c r="B288" s="733"/>
      <c r="C288" s="733"/>
      <c r="D288" s="290" t="s">
        <v>358</v>
      </c>
      <c r="E288" s="291">
        <v>34285000</v>
      </c>
      <c r="F288" s="61">
        <v>0</v>
      </c>
      <c r="G288" s="292"/>
      <c r="H288" s="88"/>
      <c r="I288" s="88"/>
      <c r="J288" s="293"/>
      <c r="K288" s="88"/>
      <c r="L288" s="88"/>
      <c r="M288" s="88"/>
      <c r="N288" s="294"/>
      <c r="O288" s="88"/>
      <c r="P288" s="88"/>
      <c r="Q288" s="88"/>
      <c r="R288" s="88"/>
      <c r="S288" s="88"/>
      <c r="T288" s="88"/>
      <c r="U288" s="88"/>
      <c r="V288" s="88"/>
      <c r="W288" s="88"/>
      <c r="X288" s="88"/>
      <c r="Y288" s="88"/>
      <c r="Z288" s="88"/>
      <c r="AA288" s="88"/>
      <c r="AB288" s="88"/>
      <c r="AC288" s="88"/>
      <c r="AD288" s="88"/>
      <c r="AE288" s="88"/>
      <c r="AF288" s="88"/>
      <c r="AG288" s="88"/>
      <c r="AH288" s="88"/>
    </row>
    <row r="289" spans="1:34" ht="69.75" customHeight="1" x14ac:dyDescent="0.25">
      <c r="A289" s="948"/>
      <c r="B289" s="965" t="s">
        <v>967</v>
      </c>
      <c r="C289" s="965" t="s">
        <v>968</v>
      </c>
      <c r="D289" s="295" t="s">
        <v>362</v>
      </c>
      <c r="E289" s="291">
        <v>68299000</v>
      </c>
      <c r="F289" s="61">
        <v>0</v>
      </c>
      <c r="G289" s="292"/>
      <c r="H289" s="88"/>
      <c r="I289" s="88"/>
      <c r="J289" s="293"/>
      <c r="K289" s="88"/>
      <c r="L289" s="88"/>
      <c r="M289" s="88"/>
      <c r="N289" s="294"/>
      <c r="O289" s="88"/>
      <c r="P289" s="88"/>
      <c r="Q289" s="88"/>
      <c r="R289" s="88"/>
      <c r="S289" s="88"/>
      <c r="T289" s="88"/>
      <c r="U289" s="88"/>
      <c r="V289" s="88"/>
      <c r="W289" s="88"/>
      <c r="X289" s="88"/>
      <c r="Y289" s="88"/>
      <c r="Z289" s="88"/>
      <c r="AA289" s="88"/>
      <c r="AB289" s="88"/>
      <c r="AC289" s="88"/>
      <c r="AD289" s="88"/>
      <c r="AE289" s="88"/>
      <c r="AF289" s="88"/>
      <c r="AG289" s="88"/>
      <c r="AH289" s="88"/>
    </row>
    <row r="290" spans="1:34" ht="69.75" customHeight="1" x14ac:dyDescent="0.25">
      <c r="A290" s="948"/>
      <c r="B290" s="694"/>
      <c r="C290" s="694"/>
      <c r="D290" s="295" t="s">
        <v>1148</v>
      </c>
      <c r="E290" s="291">
        <v>699388000</v>
      </c>
      <c r="F290" s="61">
        <v>0</v>
      </c>
      <c r="G290" s="292"/>
      <c r="H290" s="88"/>
      <c r="I290" s="88"/>
      <c r="J290" s="293"/>
      <c r="K290" s="88"/>
      <c r="L290" s="88"/>
      <c r="M290" s="88"/>
      <c r="N290" s="294"/>
      <c r="O290" s="88"/>
      <c r="P290" s="88"/>
      <c r="Q290" s="88"/>
      <c r="R290" s="88"/>
      <c r="S290" s="88"/>
      <c r="T290" s="88"/>
      <c r="U290" s="88"/>
      <c r="V290" s="88"/>
      <c r="W290" s="88"/>
      <c r="X290" s="88"/>
      <c r="Y290" s="88"/>
      <c r="Z290" s="88"/>
      <c r="AA290" s="88"/>
      <c r="AB290" s="88"/>
      <c r="AC290" s="88"/>
      <c r="AD290" s="88"/>
      <c r="AE290" s="88"/>
      <c r="AF290" s="88"/>
      <c r="AG290" s="88"/>
      <c r="AH290" s="88"/>
    </row>
    <row r="291" spans="1:34" ht="69.75" customHeight="1" x14ac:dyDescent="0.25">
      <c r="A291" s="948"/>
      <c r="B291" s="694"/>
      <c r="C291" s="694"/>
      <c r="D291" s="295" t="s">
        <v>1149</v>
      </c>
      <c r="E291" s="291">
        <v>349839000</v>
      </c>
      <c r="F291" s="61">
        <v>0</v>
      </c>
      <c r="G291" s="292"/>
      <c r="H291" s="88"/>
      <c r="I291" s="88"/>
      <c r="J291" s="293"/>
      <c r="K291" s="88"/>
      <c r="L291" s="88"/>
      <c r="M291" s="88"/>
      <c r="N291" s="294"/>
      <c r="O291" s="88"/>
      <c r="P291" s="88"/>
      <c r="Q291" s="88"/>
      <c r="R291" s="88"/>
      <c r="S291" s="88"/>
      <c r="T291" s="88"/>
      <c r="U291" s="88"/>
      <c r="V291" s="88"/>
      <c r="W291" s="88"/>
      <c r="X291" s="88"/>
      <c r="Y291" s="88"/>
      <c r="Z291" s="88"/>
      <c r="AA291" s="88"/>
      <c r="AB291" s="88"/>
      <c r="AC291" s="88"/>
      <c r="AD291" s="88"/>
      <c r="AE291" s="88"/>
      <c r="AF291" s="88"/>
      <c r="AG291" s="88"/>
      <c r="AH291" s="88"/>
    </row>
    <row r="292" spans="1:34" ht="69.75" customHeight="1" x14ac:dyDescent="0.25">
      <c r="A292" s="948"/>
      <c r="B292" s="733"/>
      <c r="C292" s="733"/>
      <c r="D292" s="295" t="s">
        <v>891</v>
      </c>
      <c r="E292" s="296">
        <v>482999000</v>
      </c>
      <c r="F292" s="297">
        <v>0</v>
      </c>
      <c r="G292" s="298"/>
      <c r="H292" s="88"/>
      <c r="I292" s="88"/>
      <c r="J292" s="293"/>
      <c r="K292" s="88"/>
      <c r="L292" s="88"/>
      <c r="M292" s="88"/>
      <c r="N292" s="294"/>
      <c r="O292" s="88"/>
      <c r="P292" s="88"/>
      <c r="Q292" s="88"/>
      <c r="R292" s="88"/>
      <c r="S292" s="88"/>
      <c r="T292" s="88"/>
      <c r="U292" s="88"/>
      <c r="V292" s="88"/>
      <c r="W292" s="88"/>
      <c r="X292" s="88"/>
      <c r="Y292" s="88"/>
      <c r="Z292" s="88"/>
      <c r="AA292" s="88"/>
      <c r="AB292" s="88"/>
      <c r="AC292" s="88"/>
      <c r="AD292" s="88"/>
      <c r="AE292" s="88"/>
      <c r="AF292" s="88"/>
      <c r="AG292" s="88"/>
      <c r="AH292" s="88"/>
    </row>
    <row r="293" spans="1:34" ht="69.75" customHeight="1" x14ac:dyDescent="0.25">
      <c r="A293" s="948"/>
      <c r="B293" s="30" t="s">
        <v>971</v>
      </c>
      <c r="C293" s="30" t="s">
        <v>972</v>
      </c>
      <c r="D293" s="295" t="s">
        <v>1150</v>
      </c>
      <c r="E293" s="291">
        <v>250350000</v>
      </c>
      <c r="F293" s="61">
        <v>0</v>
      </c>
      <c r="G293" s="292"/>
      <c r="H293" s="88"/>
      <c r="I293" s="88"/>
      <c r="J293" s="293"/>
      <c r="K293" s="88"/>
      <c r="L293" s="88"/>
      <c r="M293" s="88"/>
      <c r="N293" s="294"/>
      <c r="O293" s="88"/>
      <c r="P293" s="88"/>
      <c r="Q293" s="88"/>
      <c r="R293" s="88"/>
      <c r="S293" s="88"/>
      <c r="T293" s="88"/>
      <c r="U293" s="88"/>
      <c r="V293" s="88"/>
      <c r="W293" s="88"/>
      <c r="X293" s="88"/>
      <c r="Y293" s="88"/>
      <c r="Z293" s="88"/>
      <c r="AA293" s="88"/>
      <c r="AB293" s="88"/>
      <c r="AC293" s="88"/>
      <c r="AD293" s="88"/>
      <c r="AE293" s="88"/>
      <c r="AF293" s="88"/>
      <c r="AG293" s="88"/>
      <c r="AH293" s="88"/>
    </row>
    <row r="294" spans="1:34" ht="69.75" customHeight="1" x14ac:dyDescent="0.25">
      <c r="A294" s="953"/>
      <c r="B294" s="30" t="s">
        <v>975</v>
      </c>
      <c r="C294" s="30" t="s">
        <v>976</v>
      </c>
      <c r="D294" s="295" t="s">
        <v>381</v>
      </c>
      <c r="E294" s="291">
        <v>801561000</v>
      </c>
      <c r="F294" s="291">
        <v>5482052</v>
      </c>
      <c r="G294" s="292"/>
      <c r="H294" s="88"/>
      <c r="I294" s="88"/>
      <c r="J294" s="293"/>
      <c r="K294" s="88"/>
      <c r="L294" s="88"/>
      <c r="M294" s="88"/>
      <c r="N294" s="294"/>
      <c r="O294" s="88"/>
      <c r="P294" s="88"/>
      <c r="Q294" s="88"/>
      <c r="R294" s="88"/>
      <c r="S294" s="88"/>
      <c r="T294" s="88"/>
      <c r="U294" s="88"/>
      <c r="V294" s="88"/>
      <c r="W294" s="88"/>
      <c r="X294" s="88"/>
      <c r="Y294" s="88"/>
      <c r="Z294" s="88"/>
      <c r="AA294" s="88"/>
      <c r="AB294" s="88"/>
      <c r="AC294" s="88"/>
      <c r="AD294" s="88"/>
      <c r="AE294" s="88"/>
      <c r="AF294" s="88"/>
      <c r="AG294" s="88"/>
      <c r="AH294" s="88"/>
    </row>
    <row r="295" spans="1:34" ht="69.75" customHeight="1" x14ac:dyDescent="0.25">
      <c r="A295" s="952" t="s">
        <v>941</v>
      </c>
      <c r="B295" s="957" t="s">
        <v>963</v>
      </c>
      <c r="C295" s="957" t="s">
        <v>964</v>
      </c>
      <c r="D295" s="290" t="s">
        <v>344</v>
      </c>
      <c r="E295" s="291">
        <v>574654000</v>
      </c>
      <c r="F295" s="291">
        <v>12993393</v>
      </c>
      <c r="G295" s="88"/>
      <c r="H295" s="88"/>
      <c r="I295" s="88"/>
      <c r="J295" s="293"/>
      <c r="K295" s="88"/>
      <c r="L295" s="88"/>
      <c r="M295" s="88"/>
      <c r="N295" s="294"/>
      <c r="O295" s="88"/>
      <c r="P295" s="88"/>
      <c r="Q295" s="88"/>
      <c r="R295" s="88"/>
      <c r="S295" s="88"/>
      <c r="T295" s="88"/>
      <c r="U295" s="88"/>
      <c r="V295" s="88"/>
      <c r="W295" s="88"/>
      <c r="X295" s="88"/>
      <c r="Y295" s="88"/>
      <c r="Z295" s="88"/>
      <c r="AA295" s="88"/>
      <c r="AB295" s="88"/>
      <c r="AC295" s="88"/>
      <c r="AD295" s="88"/>
      <c r="AE295" s="88"/>
      <c r="AF295" s="88"/>
      <c r="AG295" s="88"/>
      <c r="AH295" s="88"/>
    </row>
    <row r="296" spans="1:34" ht="69.75" customHeight="1" x14ac:dyDescent="0.25">
      <c r="A296" s="948"/>
      <c r="B296" s="694"/>
      <c r="C296" s="694"/>
      <c r="D296" s="290" t="s">
        <v>355</v>
      </c>
      <c r="E296" s="291">
        <v>198130000</v>
      </c>
      <c r="F296" s="291">
        <v>7349100</v>
      </c>
      <c r="G296" s="88"/>
      <c r="H296" s="88"/>
      <c r="I296" s="88"/>
      <c r="J296" s="293"/>
      <c r="K296" s="88"/>
      <c r="L296" s="88"/>
      <c r="M296" s="88"/>
      <c r="N296" s="294"/>
      <c r="O296" s="88"/>
      <c r="P296" s="88"/>
      <c r="Q296" s="88"/>
      <c r="R296" s="88"/>
      <c r="S296" s="88"/>
      <c r="T296" s="88"/>
      <c r="U296" s="88"/>
      <c r="V296" s="88"/>
      <c r="W296" s="88"/>
      <c r="X296" s="88"/>
      <c r="Y296" s="88"/>
      <c r="Z296" s="88"/>
      <c r="AA296" s="88"/>
      <c r="AB296" s="88"/>
      <c r="AC296" s="88"/>
      <c r="AD296" s="88"/>
      <c r="AE296" s="88"/>
      <c r="AF296" s="88"/>
      <c r="AG296" s="88"/>
      <c r="AH296" s="88"/>
    </row>
    <row r="297" spans="1:34" ht="69.75" customHeight="1" x14ac:dyDescent="0.25">
      <c r="A297" s="948"/>
      <c r="B297" s="733"/>
      <c r="C297" s="733"/>
      <c r="D297" s="290" t="s">
        <v>358</v>
      </c>
      <c r="E297" s="291">
        <v>34285000</v>
      </c>
      <c r="F297" s="291">
        <v>2085333</v>
      </c>
      <c r="G297" s="88"/>
      <c r="H297" s="88"/>
      <c r="I297" s="88"/>
      <c r="J297" s="293"/>
      <c r="K297" s="88"/>
      <c r="L297" s="88"/>
      <c r="M297" s="88"/>
      <c r="N297" s="294"/>
      <c r="O297" s="88"/>
      <c r="P297" s="88"/>
      <c r="Q297" s="88"/>
      <c r="R297" s="88"/>
      <c r="S297" s="88"/>
      <c r="T297" s="88"/>
      <c r="U297" s="88"/>
      <c r="V297" s="88"/>
      <c r="W297" s="88"/>
      <c r="X297" s="88"/>
      <c r="Y297" s="88"/>
      <c r="Z297" s="88"/>
      <c r="AA297" s="88"/>
      <c r="AB297" s="88"/>
      <c r="AC297" s="88"/>
      <c r="AD297" s="88"/>
      <c r="AE297" s="88"/>
      <c r="AF297" s="88"/>
      <c r="AG297" s="88"/>
      <c r="AH297" s="88"/>
    </row>
    <row r="298" spans="1:34" ht="69.75" customHeight="1" x14ac:dyDescent="0.25">
      <c r="A298" s="948"/>
      <c r="B298" s="965" t="s">
        <v>967</v>
      </c>
      <c r="C298" s="965" t="s">
        <v>968</v>
      </c>
      <c r="D298" s="295" t="s">
        <v>362</v>
      </c>
      <c r="E298" s="291">
        <v>68299000</v>
      </c>
      <c r="F298" s="291">
        <v>0</v>
      </c>
      <c r="G298" s="88"/>
      <c r="H298" s="88"/>
      <c r="I298" s="88"/>
      <c r="J298" s="293"/>
      <c r="K298" s="88"/>
      <c r="L298" s="88"/>
      <c r="M298" s="88"/>
      <c r="N298" s="294"/>
      <c r="O298" s="88"/>
      <c r="P298" s="88"/>
      <c r="Q298" s="88"/>
      <c r="R298" s="88"/>
      <c r="S298" s="88"/>
      <c r="T298" s="88"/>
      <c r="U298" s="88"/>
      <c r="V298" s="88"/>
      <c r="W298" s="88"/>
      <c r="X298" s="88"/>
      <c r="Y298" s="88"/>
      <c r="Z298" s="88"/>
      <c r="AA298" s="88"/>
      <c r="AB298" s="88"/>
      <c r="AC298" s="88"/>
      <c r="AD298" s="88"/>
      <c r="AE298" s="88"/>
      <c r="AF298" s="88"/>
      <c r="AG298" s="88"/>
      <c r="AH298" s="88"/>
    </row>
    <row r="299" spans="1:34" ht="69.75" customHeight="1" x14ac:dyDescent="0.25">
      <c r="A299" s="948"/>
      <c r="B299" s="694"/>
      <c r="C299" s="694"/>
      <c r="D299" s="295" t="s">
        <v>1148</v>
      </c>
      <c r="E299" s="291">
        <v>699388000</v>
      </c>
      <c r="F299" s="291">
        <v>0</v>
      </c>
      <c r="G299" s="88"/>
      <c r="H299" s="88"/>
      <c r="I299" s="88"/>
      <c r="J299" s="293"/>
      <c r="K299" s="88"/>
      <c r="L299" s="88"/>
      <c r="M299" s="88"/>
      <c r="N299" s="294"/>
      <c r="O299" s="88"/>
      <c r="P299" s="88"/>
      <c r="Q299" s="88"/>
      <c r="R299" s="88"/>
      <c r="S299" s="88"/>
      <c r="T299" s="88"/>
      <c r="U299" s="88"/>
      <c r="V299" s="88"/>
      <c r="W299" s="88"/>
      <c r="X299" s="88"/>
      <c r="Y299" s="88"/>
      <c r="Z299" s="88"/>
      <c r="AA299" s="88"/>
      <c r="AB299" s="88"/>
      <c r="AC299" s="88"/>
      <c r="AD299" s="88"/>
      <c r="AE299" s="88"/>
      <c r="AF299" s="88"/>
      <c r="AG299" s="88"/>
      <c r="AH299" s="88"/>
    </row>
    <row r="300" spans="1:34" ht="69.75" customHeight="1" x14ac:dyDescent="0.25">
      <c r="A300" s="948"/>
      <c r="B300" s="694"/>
      <c r="C300" s="694"/>
      <c r="D300" s="295" t="s">
        <v>1149</v>
      </c>
      <c r="E300" s="291">
        <v>349839000</v>
      </c>
      <c r="F300" s="291">
        <v>14248600</v>
      </c>
      <c r="G300" s="88"/>
      <c r="H300" s="88"/>
      <c r="I300" s="88"/>
      <c r="J300" s="293"/>
      <c r="K300" s="88"/>
      <c r="L300" s="88"/>
      <c r="M300" s="88"/>
      <c r="N300" s="294"/>
      <c r="O300" s="88"/>
      <c r="P300" s="88"/>
      <c r="Q300" s="88"/>
      <c r="R300" s="88"/>
      <c r="S300" s="88"/>
      <c r="T300" s="88"/>
      <c r="U300" s="88"/>
      <c r="V300" s="88"/>
      <c r="W300" s="88"/>
      <c r="X300" s="88"/>
      <c r="Y300" s="88"/>
      <c r="Z300" s="88"/>
      <c r="AA300" s="88"/>
      <c r="AB300" s="88"/>
      <c r="AC300" s="88"/>
      <c r="AD300" s="88"/>
      <c r="AE300" s="88"/>
      <c r="AF300" s="88"/>
      <c r="AG300" s="88"/>
      <c r="AH300" s="88"/>
    </row>
    <row r="301" spans="1:34" ht="69.75" customHeight="1" x14ac:dyDescent="0.25">
      <c r="A301" s="948"/>
      <c r="B301" s="733"/>
      <c r="C301" s="733"/>
      <c r="D301" s="295" t="s">
        <v>891</v>
      </c>
      <c r="E301" s="296">
        <v>482999000</v>
      </c>
      <c r="F301" s="296">
        <v>13621034</v>
      </c>
      <c r="G301" s="88"/>
      <c r="H301" s="88"/>
      <c r="I301" s="88"/>
      <c r="J301" s="293"/>
      <c r="K301" s="88"/>
      <c r="L301" s="88"/>
      <c r="M301" s="88"/>
      <c r="N301" s="294"/>
      <c r="O301" s="88"/>
      <c r="P301" s="88"/>
      <c r="Q301" s="88"/>
      <c r="R301" s="88"/>
      <c r="S301" s="88"/>
      <c r="T301" s="88"/>
      <c r="U301" s="88"/>
      <c r="V301" s="88"/>
      <c r="W301" s="88"/>
      <c r="X301" s="88"/>
      <c r="Y301" s="88"/>
      <c r="Z301" s="88"/>
      <c r="AA301" s="88"/>
      <c r="AB301" s="88"/>
      <c r="AC301" s="88"/>
      <c r="AD301" s="88"/>
      <c r="AE301" s="88"/>
      <c r="AF301" s="88"/>
      <c r="AG301" s="88"/>
      <c r="AH301" s="88"/>
    </row>
    <row r="302" spans="1:34" ht="69.75" customHeight="1" x14ac:dyDescent="0.25">
      <c r="A302" s="948"/>
      <c r="B302" s="30" t="s">
        <v>971</v>
      </c>
      <c r="C302" s="30" t="s">
        <v>972</v>
      </c>
      <c r="D302" s="295" t="s">
        <v>1150</v>
      </c>
      <c r="E302" s="291">
        <v>250350000</v>
      </c>
      <c r="F302" s="291">
        <v>5581534</v>
      </c>
      <c r="G302" s="88"/>
      <c r="H302" s="88"/>
      <c r="I302" s="88"/>
      <c r="J302" s="293"/>
      <c r="K302" s="88"/>
      <c r="L302" s="88"/>
      <c r="M302" s="88"/>
      <c r="N302" s="294"/>
      <c r="O302" s="88"/>
      <c r="P302" s="88"/>
      <c r="Q302" s="88"/>
      <c r="R302" s="88"/>
      <c r="S302" s="88"/>
      <c r="T302" s="88"/>
      <c r="U302" s="88"/>
      <c r="V302" s="88"/>
      <c r="W302" s="88"/>
      <c r="X302" s="88"/>
      <c r="Y302" s="88"/>
      <c r="Z302" s="88"/>
      <c r="AA302" s="88"/>
      <c r="AB302" s="88"/>
      <c r="AC302" s="88"/>
      <c r="AD302" s="88"/>
      <c r="AE302" s="88"/>
      <c r="AF302" s="88"/>
      <c r="AG302" s="88"/>
      <c r="AH302" s="88"/>
    </row>
    <row r="303" spans="1:34" ht="69.75" customHeight="1" x14ac:dyDescent="0.25">
      <c r="A303" s="953"/>
      <c r="B303" s="30" t="s">
        <v>975</v>
      </c>
      <c r="C303" s="30" t="s">
        <v>976</v>
      </c>
      <c r="D303" s="295" t="s">
        <v>381</v>
      </c>
      <c r="E303" s="291">
        <v>801561000</v>
      </c>
      <c r="F303" s="291">
        <v>19474701</v>
      </c>
      <c r="G303" s="88"/>
      <c r="H303" s="88"/>
      <c r="I303" s="88"/>
      <c r="J303" s="293"/>
      <c r="K303" s="88"/>
      <c r="L303" s="88"/>
      <c r="M303" s="88"/>
      <c r="N303" s="294"/>
      <c r="O303" s="88"/>
      <c r="P303" s="88"/>
      <c r="Q303" s="88"/>
      <c r="R303" s="88"/>
      <c r="S303" s="88"/>
      <c r="T303" s="88"/>
      <c r="U303" s="88"/>
      <c r="V303" s="88"/>
      <c r="W303" s="88"/>
      <c r="X303" s="88"/>
      <c r="Y303" s="88"/>
      <c r="Z303" s="88"/>
      <c r="AA303" s="88"/>
      <c r="AB303" s="88"/>
      <c r="AC303" s="88"/>
      <c r="AD303" s="88"/>
      <c r="AE303" s="88"/>
      <c r="AF303" s="88"/>
      <c r="AG303" s="88"/>
      <c r="AH303" s="88"/>
    </row>
    <row r="304" spans="1:34" ht="69.75" customHeight="1" x14ac:dyDescent="0.25">
      <c r="A304" s="952" t="s">
        <v>942</v>
      </c>
      <c r="B304" s="957" t="s">
        <v>963</v>
      </c>
      <c r="C304" s="957" t="s">
        <v>964</v>
      </c>
      <c r="D304" s="290" t="s">
        <v>344</v>
      </c>
      <c r="E304" s="291">
        <v>556207000</v>
      </c>
      <c r="F304" s="291">
        <v>53643627</v>
      </c>
      <c r="G304" s="292"/>
      <c r="H304" s="88"/>
      <c r="I304" s="88"/>
      <c r="J304" s="293"/>
      <c r="K304" s="88"/>
      <c r="L304" s="88"/>
      <c r="M304" s="88"/>
      <c r="N304" s="294"/>
      <c r="O304" s="88"/>
      <c r="P304" s="88"/>
      <c r="Q304" s="88"/>
      <c r="R304" s="88"/>
      <c r="S304" s="88"/>
      <c r="T304" s="88"/>
      <c r="U304" s="88"/>
      <c r="V304" s="88"/>
      <c r="W304" s="88"/>
      <c r="X304" s="88"/>
      <c r="Y304" s="88"/>
      <c r="Z304" s="88"/>
      <c r="AA304" s="88"/>
      <c r="AB304" s="88"/>
      <c r="AC304" s="88"/>
      <c r="AD304" s="88"/>
      <c r="AE304" s="88"/>
      <c r="AF304" s="88"/>
      <c r="AG304" s="88"/>
      <c r="AH304" s="88"/>
    </row>
    <row r="305" spans="1:34" ht="69.75" customHeight="1" x14ac:dyDescent="0.25">
      <c r="A305" s="948"/>
      <c r="B305" s="694"/>
      <c r="C305" s="694"/>
      <c r="D305" s="290" t="s">
        <v>355</v>
      </c>
      <c r="E305" s="291">
        <v>172920000</v>
      </c>
      <c r="F305" s="291">
        <v>22047300</v>
      </c>
      <c r="G305" s="292"/>
      <c r="H305" s="88"/>
      <c r="I305" s="88"/>
      <c r="J305" s="293"/>
      <c r="K305" s="88"/>
      <c r="L305" s="88"/>
      <c r="M305" s="88"/>
      <c r="N305" s="294"/>
      <c r="O305" s="88"/>
      <c r="P305" s="88"/>
      <c r="Q305" s="88"/>
      <c r="R305" s="88"/>
      <c r="S305" s="88"/>
      <c r="T305" s="88"/>
      <c r="U305" s="88"/>
      <c r="V305" s="88"/>
      <c r="W305" s="88"/>
      <c r="X305" s="88"/>
      <c r="Y305" s="88"/>
      <c r="Z305" s="88"/>
      <c r="AA305" s="88"/>
      <c r="AB305" s="88"/>
      <c r="AC305" s="88"/>
      <c r="AD305" s="88"/>
      <c r="AE305" s="88"/>
      <c r="AF305" s="88"/>
      <c r="AG305" s="88"/>
      <c r="AH305" s="88"/>
    </row>
    <row r="306" spans="1:34" ht="69.75" customHeight="1" x14ac:dyDescent="0.25">
      <c r="A306" s="948"/>
      <c r="B306" s="733"/>
      <c r="C306" s="733"/>
      <c r="D306" s="290" t="s">
        <v>358</v>
      </c>
      <c r="E306" s="291">
        <v>27200000</v>
      </c>
      <c r="F306" s="291">
        <v>4805333</v>
      </c>
      <c r="G306" s="292"/>
      <c r="H306" s="88"/>
      <c r="I306" s="88"/>
      <c r="J306" s="293"/>
      <c r="K306" s="88"/>
      <c r="L306" s="88"/>
      <c r="M306" s="88"/>
      <c r="N306" s="294"/>
      <c r="O306" s="88"/>
      <c r="P306" s="88"/>
      <c r="Q306" s="88"/>
      <c r="R306" s="88"/>
      <c r="S306" s="88"/>
      <c r="T306" s="88"/>
      <c r="U306" s="88"/>
      <c r="V306" s="88"/>
      <c r="W306" s="88"/>
      <c r="X306" s="88"/>
      <c r="Y306" s="88"/>
      <c r="Z306" s="88"/>
      <c r="AA306" s="88"/>
      <c r="AB306" s="88"/>
      <c r="AC306" s="88"/>
      <c r="AD306" s="88"/>
      <c r="AE306" s="88"/>
      <c r="AF306" s="88"/>
      <c r="AG306" s="88"/>
      <c r="AH306" s="88"/>
    </row>
    <row r="307" spans="1:34" ht="69.75" customHeight="1" x14ac:dyDescent="0.25">
      <c r="A307" s="948"/>
      <c r="B307" s="965" t="s">
        <v>967</v>
      </c>
      <c r="C307" s="965" t="s">
        <v>968</v>
      </c>
      <c r="D307" s="295" t="s">
        <v>362</v>
      </c>
      <c r="E307" s="291">
        <v>67897116</v>
      </c>
      <c r="F307" s="291">
        <v>4041500</v>
      </c>
      <c r="G307" s="292"/>
      <c r="H307" s="88"/>
      <c r="I307" s="88"/>
      <c r="J307" s="293"/>
      <c r="K307" s="88"/>
      <c r="L307" s="88"/>
      <c r="M307" s="88"/>
      <c r="N307" s="294"/>
      <c r="O307" s="88"/>
      <c r="P307" s="88"/>
      <c r="Q307" s="88"/>
      <c r="R307" s="88"/>
      <c r="S307" s="88"/>
      <c r="T307" s="88"/>
      <c r="U307" s="88"/>
      <c r="V307" s="88"/>
      <c r="W307" s="88"/>
      <c r="X307" s="88"/>
      <c r="Y307" s="88"/>
      <c r="Z307" s="88"/>
      <c r="AA307" s="88"/>
      <c r="AB307" s="88"/>
      <c r="AC307" s="88"/>
      <c r="AD307" s="88"/>
      <c r="AE307" s="88"/>
      <c r="AF307" s="88"/>
      <c r="AG307" s="88"/>
      <c r="AH307" s="88"/>
    </row>
    <row r="308" spans="1:34" ht="69.75" customHeight="1" x14ac:dyDescent="0.25">
      <c r="A308" s="948"/>
      <c r="B308" s="694"/>
      <c r="C308" s="694"/>
      <c r="D308" s="295" t="s">
        <v>1148</v>
      </c>
      <c r="E308" s="291">
        <v>375068706</v>
      </c>
      <c r="F308" s="291">
        <v>25354666</v>
      </c>
      <c r="G308" s="292"/>
      <c r="H308" s="88"/>
      <c r="I308" s="88"/>
      <c r="J308" s="293"/>
      <c r="K308" s="88"/>
      <c r="L308" s="88"/>
      <c r="M308" s="88"/>
      <c r="N308" s="294"/>
      <c r="O308" s="88"/>
      <c r="P308" s="88"/>
      <c r="Q308" s="88"/>
      <c r="R308" s="88"/>
      <c r="S308" s="88"/>
      <c r="T308" s="88"/>
      <c r="U308" s="88"/>
      <c r="V308" s="88"/>
      <c r="W308" s="88"/>
      <c r="X308" s="88"/>
      <c r="Y308" s="88"/>
      <c r="Z308" s="88"/>
      <c r="AA308" s="88"/>
      <c r="AB308" s="88"/>
      <c r="AC308" s="88"/>
      <c r="AD308" s="88"/>
      <c r="AE308" s="88"/>
      <c r="AF308" s="88"/>
      <c r="AG308" s="88"/>
      <c r="AH308" s="88"/>
    </row>
    <row r="309" spans="1:34" ht="69.75" customHeight="1" x14ac:dyDescent="0.25">
      <c r="A309" s="948"/>
      <c r="B309" s="694"/>
      <c r="C309" s="694"/>
      <c r="D309" s="295" t="s">
        <v>1149</v>
      </c>
      <c r="E309" s="291">
        <v>313790000</v>
      </c>
      <c r="F309" s="291">
        <v>45283800</v>
      </c>
      <c r="G309" s="292"/>
      <c r="H309" s="88"/>
      <c r="I309" s="88"/>
      <c r="J309" s="293"/>
      <c r="K309" s="88"/>
      <c r="L309" s="88"/>
      <c r="M309" s="88"/>
      <c r="N309" s="294"/>
      <c r="O309" s="88"/>
      <c r="P309" s="88"/>
      <c r="Q309" s="88"/>
      <c r="R309" s="88"/>
      <c r="S309" s="88"/>
      <c r="T309" s="88"/>
      <c r="U309" s="88"/>
      <c r="V309" s="88"/>
      <c r="W309" s="88"/>
      <c r="X309" s="88"/>
      <c r="Y309" s="88"/>
      <c r="Z309" s="88"/>
      <c r="AA309" s="88"/>
      <c r="AB309" s="88"/>
      <c r="AC309" s="88"/>
      <c r="AD309" s="88"/>
      <c r="AE309" s="88"/>
      <c r="AF309" s="88"/>
      <c r="AG309" s="88"/>
      <c r="AH309" s="88"/>
    </row>
    <row r="310" spans="1:34" ht="69.75" customHeight="1" x14ac:dyDescent="0.25">
      <c r="A310" s="948"/>
      <c r="B310" s="733"/>
      <c r="C310" s="733"/>
      <c r="D310" s="295" t="s">
        <v>891</v>
      </c>
      <c r="E310" s="296">
        <v>443325000</v>
      </c>
      <c r="F310" s="296">
        <v>50942234</v>
      </c>
      <c r="G310" s="298"/>
      <c r="H310" s="88"/>
      <c r="I310" s="88"/>
      <c r="J310" s="293"/>
      <c r="K310" s="88"/>
      <c r="L310" s="88"/>
      <c r="M310" s="88"/>
      <c r="N310" s="294"/>
      <c r="O310" s="88"/>
      <c r="P310" s="88"/>
      <c r="Q310" s="88"/>
      <c r="R310" s="88"/>
      <c r="S310" s="88"/>
      <c r="T310" s="88"/>
      <c r="U310" s="88"/>
      <c r="V310" s="88"/>
      <c r="W310" s="88"/>
      <c r="X310" s="88"/>
      <c r="Y310" s="88"/>
      <c r="Z310" s="88"/>
      <c r="AA310" s="88"/>
      <c r="AB310" s="88"/>
      <c r="AC310" s="88"/>
      <c r="AD310" s="88"/>
      <c r="AE310" s="88"/>
      <c r="AF310" s="88"/>
      <c r="AG310" s="88"/>
      <c r="AH310" s="88"/>
    </row>
    <row r="311" spans="1:34" ht="69.75" customHeight="1" x14ac:dyDescent="0.25">
      <c r="A311" s="948"/>
      <c r="B311" s="30" t="s">
        <v>971</v>
      </c>
      <c r="C311" s="30" t="s">
        <v>972</v>
      </c>
      <c r="D311" s="295" t="s">
        <v>1150</v>
      </c>
      <c r="E311" s="291">
        <v>222016000</v>
      </c>
      <c r="F311" s="291">
        <v>22792600</v>
      </c>
      <c r="G311" s="292"/>
      <c r="H311" s="88"/>
      <c r="I311" s="88"/>
      <c r="J311" s="293"/>
      <c r="K311" s="88"/>
      <c r="L311" s="88"/>
      <c r="M311" s="88"/>
      <c r="N311" s="294"/>
      <c r="O311" s="88"/>
      <c r="P311" s="88"/>
      <c r="Q311" s="88"/>
      <c r="R311" s="88"/>
      <c r="S311" s="88"/>
      <c r="T311" s="88"/>
      <c r="U311" s="88"/>
      <c r="V311" s="88"/>
      <c r="W311" s="88"/>
      <c r="X311" s="88"/>
      <c r="Y311" s="88"/>
      <c r="Z311" s="88"/>
      <c r="AA311" s="88"/>
      <c r="AB311" s="88"/>
      <c r="AC311" s="88"/>
      <c r="AD311" s="88"/>
      <c r="AE311" s="88"/>
      <c r="AF311" s="88"/>
      <c r="AG311" s="88"/>
      <c r="AH311" s="88"/>
    </row>
    <row r="312" spans="1:34" ht="69.75" customHeight="1" x14ac:dyDescent="0.25">
      <c r="A312" s="953"/>
      <c r="B312" s="30" t="s">
        <v>975</v>
      </c>
      <c r="C312" s="30" t="s">
        <v>976</v>
      </c>
      <c r="D312" s="295" t="s">
        <v>381</v>
      </c>
      <c r="E312" s="291">
        <v>754641627</v>
      </c>
      <c r="F312" s="291">
        <v>37130834</v>
      </c>
      <c r="G312" s="292"/>
      <c r="H312" s="88"/>
      <c r="I312" s="88"/>
      <c r="J312" s="293"/>
      <c r="K312" s="88"/>
      <c r="L312" s="88"/>
      <c r="M312" s="88"/>
      <c r="N312" s="294"/>
      <c r="O312" s="88"/>
      <c r="P312" s="88"/>
      <c r="Q312" s="88"/>
      <c r="R312" s="88"/>
      <c r="S312" s="88"/>
      <c r="T312" s="88"/>
      <c r="U312" s="88"/>
      <c r="V312" s="88"/>
      <c r="W312" s="88"/>
      <c r="X312" s="88"/>
      <c r="Y312" s="88"/>
      <c r="Z312" s="88"/>
      <c r="AA312" s="88"/>
      <c r="AB312" s="88"/>
      <c r="AC312" s="88"/>
      <c r="AD312" s="88"/>
      <c r="AE312" s="88"/>
      <c r="AF312" s="88"/>
      <c r="AG312" s="88"/>
      <c r="AH312" s="88"/>
    </row>
    <row r="313" spans="1:34" ht="69.75" customHeight="1" x14ac:dyDescent="0.25">
      <c r="A313" s="952" t="s">
        <v>944</v>
      </c>
      <c r="B313" s="957" t="s">
        <v>963</v>
      </c>
      <c r="C313" s="957" t="s">
        <v>964</v>
      </c>
      <c r="D313" s="290" t="s">
        <v>344</v>
      </c>
      <c r="E313" s="291">
        <v>556207000</v>
      </c>
      <c r="F313" s="291">
        <v>173791767</v>
      </c>
      <c r="G313" s="292"/>
      <c r="H313" s="88"/>
      <c r="I313" s="88"/>
      <c r="J313" s="293"/>
      <c r="K313" s="88"/>
      <c r="L313" s="88"/>
      <c r="M313" s="88"/>
      <c r="N313" s="294"/>
      <c r="O313" s="88"/>
      <c r="P313" s="88"/>
      <c r="Q313" s="88"/>
      <c r="R313" s="88"/>
      <c r="S313" s="88"/>
      <c r="T313" s="88"/>
      <c r="U313" s="88"/>
      <c r="V313" s="88"/>
      <c r="W313" s="88"/>
      <c r="X313" s="88"/>
      <c r="Y313" s="88"/>
      <c r="Z313" s="88"/>
      <c r="AA313" s="88"/>
      <c r="AB313" s="88"/>
      <c r="AC313" s="88"/>
      <c r="AD313" s="88"/>
      <c r="AE313" s="88"/>
      <c r="AF313" s="88"/>
      <c r="AG313" s="88"/>
      <c r="AH313" s="88"/>
    </row>
    <row r="314" spans="1:34" ht="69.75" customHeight="1" x14ac:dyDescent="0.25">
      <c r="A314" s="948"/>
      <c r="B314" s="694"/>
      <c r="C314" s="694"/>
      <c r="D314" s="290" t="s">
        <v>355</v>
      </c>
      <c r="E314" s="291">
        <v>172920000</v>
      </c>
      <c r="F314" s="291">
        <v>56631300</v>
      </c>
      <c r="G314" s="292"/>
      <c r="H314" s="88"/>
      <c r="I314" s="88"/>
      <c r="J314" s="293"/>
      <c r="K314" s="88"/>
      <c r="L314" s="88"/>
      <c r="M314" s="88"/>
      <c r="N314" s="294"/>
      <c r="O314" s="88"/>
      <c r="P314" s="88"/>
      <c r="Q314" s="88"/>
      <c r="R314" s="88"/>
      <c r="S314" s="88"/>
      <c r="T314" s="88"/>
      <c r="U314" s="88"/>
      <c r="V314" s="88"/>
      <c r="W314" s="88"/>
      <c r="X314" s="88"/>
      <c r="Y314" s="88"/>
      <c r="Z314" s="88"/>
      <c r="AA314" s="88"/>
      <c r="AB314" s="88"/>
      <c r="AC314" s="88"/>
      <c r="AD314" s="88"/>
      <c r="AE314" s="88"/>
      <c r="AF314" s="88"/>
      <c r="AG314" s="88"/>
      <c r="AH314" s="88"/>
    </row>
    <row r="315" spans="1:34" ht="69.75" customHeight="1" x14ac:dyDescent="0.25">
      <c r="A315" s="948"/>
      <c r="B315" s="733"/>
      <c r="C315" s="733"/>
      <c r="D315" s="290" t="s">
        <v>358</v>
      </c>
      <c r="E315" s="291">
        <v>27200000</v>
      </c>
      <c r="F315" s="291">
        <v>10245333</v>
      </c>
      <c r="G315" s="292"/>
      <c r="H315" s="88"/>
      <c r="I315" s="88"/>
      <c r="J315" s="293"/>
      <c r="K315" s="88"/>
      <c r="L315" s="88"/>
      <c r="M315" s="88"/>
      <c r="N315" s="294"/>
      <c r="O315" s="88"/>
      <c r="P315" s="88"/>
      <c r="Q315" s="88"/>
      <c r="R315" s="88"/>
      <c r="S315" s="88"/>
      <c r="T315" s="88"/>
      <c r="U315" s="88"/>
      <c r="V315" s="88"/>
      <c r="W315" s="88"/>
      <c r="X315" s="88"/>
      <c r="Y315" s="88"/>
      <c r="Z315" s="88"/>
      <c r="AA315" s="88"/>
      <c r="AB315" s="88"/>
      <c r="AC315" s="88"/>
      <c r="AD315" s="88"/>
      <c r="AE315" s="88"/>
      <c r="AF315" s="88"/>
      <c r="AG315" s="88"/>
      <c r="AH315" s="88"/>
    </row>
    <row r="316" spans="1:34" ht="69.75" customHeight="1" x14ac:dyDescent="0.25">
      <c r="A316" s="948"/>
      <c r="B316" s="965" t="s">
        <v>967</v>
      </c>
      <c r="C316" s="965" t="s">
        <v>968</v>
      </c>
      <c r="D316" s="295" t="s">
        <v>362</v>
      </c>
      <c r="E316" s="291">
        <v>67897116</v>
      </c>
      <c r="F316" s="291">
        <v>20207500</v>
      </c>
      <c r="G316" s="292"/>
      <c r="H316" s="88"/>
      <c r="I316" s="88"/>
      <c r="J316" s="293"/>
      <c r="K316" s="88"/>
      <c r="L316" s="88"/>
      <c r="M316" s="88"/>
      <c r="N316" s="294"/>
      <c r="O316" s="88"/>
      <c r="P316" s="88"/>
      <c r="Q316" s="88"/>
      <c r="R316" s="88"/>
      <c r="S316" s="88"/>
      <c r="T316" s="88"/>
      <c r="U316" s="88"/>
      <c r="V316" s="88"/>
      <c r="W316" s="88"/>
      <c r="X316" s="88"/>
      <c r="Y316" s="88"/>
      <c r="Z316" s="88"/>
      <c r="AA316" s="88"/>
      <c r="AB316" s="88"/>
      <c r="AC316" s="88"/>
      <c r="AD316" s="88"/>
      <c r="AE316" s="88"/>
      <c r="AF316" s="88"/>
      <c r="AG316" s="88"/>
      <c r="AH316" s="88"/>
    </row>
    <row r="317" spans="1:34" ht="69.75" customHeight="1" x14ac:dyDescent="0.25">
      <c r="A317" s="948"/>
      <c r="B317" s="694"/>
      <c r="C317" s="694"/>
      <c r="D317" s="295" t="s">
        <v>1148</v>
      </c>
      <c r="E317" s="291">
        <v>375068706</v>
      </c>
      <c r="F317" s="291">
        <v>112050666</v>
      </c>
      <c r="G317" s="292"/>
      <c r="H317" s="88"/>
      <c r="I317" s="88"/>
      <c r="J317" s="293"/>
      <c r="K317" s="88"/>
      <c r="L317" s="88"/>
      <c r="M317" s="88"/>
      <c r="N317" s="294"/>
      <c r="O317" s="88"/>
      <c r="P317" s="88"/>
      <c r="Q317" s="88"/>
      <c r="R317" s="88"/>
      <c r="S317" s="88"/>
      <c r="T317" s="88"/>
      <c r="U317" s="88"/>
      <c r="V317" s="88"/>
      <c r="W317" s="88"/>
      <c r="X317" s="88"/>
      <c r="Y317" s="88"/>
      <c r="Z317" s="88"/>
      <c r="AA317" s="88"/>
      <c r="AB317" s="88"/>
      <c r="AC317" s="88"/>
      <c r="AD317" s="88"/>
      <c r="AE317" s="88"/>
      <c r="AF317" s="88"/>
      <c r="AG317" s="88"/>
      <c r="AH317" s="88"/>
    </row>
    <row r="318" spans="1:34" ht="69.75" customHeight="1" x14ac:dyDescent="0.25">
      <c r="A318" s="948"/>
      <c r="B318" s="694"/>
      <c r="C318" s="694"/>
      <c r="D318" s="295" t="s">
        <v>1149</v>
      </c>
      <c r="E318" s="291">
        <v>313790000</v>
      </c>
      <c r="F318" s="291">
        <v>108041800</v>
      </c>
      <c r="G318" s="292"/>
      <c r="H318" s="88"/>
      <c r="I318" s="88"/>
      <c r="J318" s="293"/>
      <c r="K318" s="88"/>
      <c r="L318" s="88"/>
      <c r="M318" s="88"/>
      <c r="N318" s="294"/>
      <c r="O318" s="88"/>
      <c r="P318" s="88"/>
      <c r="Q318" s="88"/>
      <c r="R318" s="88"/>
      <c r="S318" s="88"/>
      <c r="T318" s="88"/>
      <c r="U318" s="88"/>
      <c r="V318" s="88"/>
      <c r="W318" s="88"/>
      <c r="X318" s="88"/>
      <c r="Y318" s="88"/>
      <c r="Z318" s="88"/>
      <c r="AA318" s="88"/>
      <c r="AB318" s="88"/>
      <c r="AC318" s="88"/>
      <c r="AD318" s="88"/>
      <c r="AE318" s="88"/>
      <c r="AF318" s="88"/>
      <c r="AG318" s="88"/>
      <c r="AH318" s="88"/>
    </row>
    <row r="319" spans="1:34" ht="69.75" customHeight="1" x14ac:dyDescent="0.25">
      <c r="A319" s="948"/>
      <c r="B319" s="733"/>
      <c r="C319" s="733"/>
      <c r="D319" s="295" t="s">
        <v>891</v>
      </c>
      <c r="E319" s="296">
        <v>443325000</v>
      </c>
      <c r="F319" s="296">
        <v>146091734</v>
      </c>
      <c r="G319" s="298"/>
      <c r="H319" s="88"/>
      <c r="I319" s="88"/>
      <c r="J319" s="293"/>
      <c r="K319" s="88"/>
      <c r="L319" s="88"/>
      <c r="M319" s="88"/>
      <c r="N319" s="294"/>
      <c r="O319" s="88"/>
      <c r="P319" s="88"/>
      <c r="Q319" s="88"/>
      <c r="R319" s="88"/>
      <c r="S319" s="88"/>
      <c r="T319" s="88"/>
      <c r="U319" s="88"/>
      <c r="V319" s="88"/>
      <c r="W319" s="88"/>
      <c r="X319" s="88"/>
      <c r="Y319" s="88"/>
      <c r="Z319" s="88"/>
      <c r="AA319" s="88"/>
      <c r="AB319" s="88"/>
      <c r="AC319" s="88"/>
      <c r="AD319" s="88"/>
      <c r="AE319" s="88"/>
      <c r="AF319" s="88"/>
      <c r="AG319" s="88"/>
      <c r="AH319" s="88"/>
    </row>
    <row r="320" spans="1:34" ht="69.75" customHeight="1" x14ac:dyDescent="0.25">
      <c r="A320" s="948"/>
      <c r="B320" s="30" t="s">
        <v>971</v>
      </c>
      <c r="C320" s="30" t="s">
        <v>972</v>
      </c>
      <c r="D320" s="295" t="s">
        <v>1150</v>
      </c>
      <c r="E320" s="291">
        <v>222016000</v>
      </c>
      <c r="F320" s="291">
        <v>64739434</v>
      </c>
      <c r="G320" s="292"/>
      <c r="H320" s="88"/>
      <c r="I320" s="88"/>
      <c r="J320" s="293"/>
      <c r="K320" s="88"/>
      <c r="L320" s="88"/>
      <c r="M320" s="88"/>
      <c r="N320" s="294"/>
      <c r="O320" s="88"/>
      <c r="P320" s="88"/>
      <c r="Q320" s="88"/>
      <c r="R320" s="88"/>
      <c r="S320" s="88"/>
      <c r="T320" s="88"/>
      <c r="U320" s="88"/>
      <c r="V320" s="88"/>
      <c r="W320" s="88"/>
      <c r="X320" s="88"/>
      <c r="Y320" s="88"/>
      <c r="Z320" s="88"/>
      <c r="AA320" s="88"/>
      <c r="AB320" s="88"/>
      <c r="AC320" s="88"/>
      <c r="AD320" s="88"/>
      <c r="AE320" s="88"/>
      <c r="AF320" s="88"/>
      <c r="AG320" s="88"/>
      <c r="AH320" s="88"/>
    </row>
    <row r="321" spans="1:34" ht="69.75" customHeight="1" x14ac:dyDescent="0.25">
      <c r="A321" s="953"/>
      <c r="B321" s="30" t="s">
        <v>975</v>
      </c>
      <c r="C321" s="30" t="s">
        <v>976</v>
      </c>
      <c r="D321" s="295" t="s">
        <v>381</v>
      </c>
      <c r="E321" s="291">
        <v>754641627</v>
      </c>
      <c r="F321" s="291">
        <v>192001861</v>
      </c>
      <c r="G321" s="292"/>
      <c r="H321" s="88"/>
      <c r="I321" s="88"/>
      <c r="J321" s="293"/>
      <c r="K321" s="88"/>
      <c r="L321" s="88"/>
      <c r="M321" s="88"/>
      <c r="N321" s="294"/>
      <c r="O321" s="88"/>
      <c r="P321" s="88"/>
      <c r="Q321" s="88"/>
      <c r="R321" s="88"/>
      <c r="S321" s="88"/>
      <c r="T321" s="88"/>
      <c r="U321" s="88"/>
      <c r="V321" s="88"/>
      <c r="W321" s="88"/>
      <c r="X321" s="88"/>
      <c r="Y321" s="88"/>
      <c r="Z321" s="88"/>
      <c r="AA321" s="88"/>
      <c r="AB321" s="88"/>
      <c r="AC321" s="88"/>
      <c r="AD321" s="88"/>
      <c r="AE321" s="88"/>
      <c r="AF321" s="88"/>
      <c r="AG321" s="88"/>
      <c r="AH321" s="88"/>
    </row>
    <row r="322" spans="1:34" ht="69.75" customHeight="1" x14ac:dyDescent="0.25">
      <c r="A322" s="952" t="s">
        <v>931</v>
      </c>
      <c r="B322" s="957" t="s">
        <v>963</v>
      </c>
      <c r="C322" s="957" t="s">
        <v>964</v>
      </c>
      <c r="D322" s="290" t="s">
        <v>344</v>
      </c>
      <c r="E322" s="291">
        <v>556207000</v>
      </c>
      <c r="F322" s="291">
        <v>225108767</v>
      </c>
      <c r="G322" s="292"/>
      <c r="H322" s="88"/>
      <c r="I322" s="88"/>
      <c r="J322" s="293"/>
      <c r="K322" s="88"/>
      <c r="L322" s="88"/>
      <c r="M322" s="88"/>
      <c r="N322" s="294"/>
      <c r="O322" s="88"/>
      <c r="P322" s="88"/>
      <c r="Q322" s="88"/>
      <c r="R322" s="88"/>
      <c r="S322" s="88"/>
      <c r="T322" s="88"/>
      <c r="U322" s="88"/>
      <c r="V322" s="88"/>
      <c r="W322" s="88"/>
      <c r="X322" s="88"/>
      <c r="Y322" s="88"/>
      <c r="Z322" s="88"/>
      <c r="AA322" s="88"/>
      <c r="AB322" s="88"/>
      <c r="AC322" s="88"/>
      <c r="AD322" s="88"/>
      <c r="AE322" s="88"/>
      <c r="AF322" s="88"/>
      <c r="AG322" s="88"/>
      <c r="AH322" s="88"/>
    </row>
    <row r="323" spans="1:34" ht="69.75" customHeight="1" x14ac:dyDescent="0.25">
      <c r="A323" s="948"/>
      <c r="B323" s="694"/>
      <c r="C323" s="694"/>
      <c r="D323" s="290" t="s">
        <v>355</v>
      </c>
      <c r="E323" s="291">
        <v>172920000</v>
      </c>
      <c r="F323" s="291">
        <v>73923300</v>
      </c>
      <c r="G323" s="292"/>
      <c r="H323" s="88"/>
      <c r="I323" s="88"/>
      <c r="J323" s="293"/>
      <c r="K323" s="88"/>
      <c r="L323" s="88"/>
      <c r="M323" s="88"/>
      <c r="N323" s="294"/>
      <c r="O323" s="88"/>
      <c r="P323" s="88"/>
      <c r="Q323" s="88"/>
      <c r="R323" s="88"/>
      <c r="S323" s="88"/>
      <c r="T323" s="88"/>
      <c r="U323" s="88"/>
      <c r="V323" s="88"/>
      <c r="W323" s="88"/>
      <c r="X323" s="88"/>
      <c r="Y323" s="88"/>
      <c r="Z323" s="88"/>
      <c r="AA323" s="88"/>
      <c r="AB323" s="88"/>
      <c r="AC323" s="88"/>
      <c r="AD323" s="88"/>
      <c r="AE323" s="88"/>
      <c r="AF323" s="88"/>
      <c r="AG323" s="88"/>
      <c r="AH323" s="88"/>
    </row>
    <row r="324" spans="1:34" ht="69.75" customHeight="1" x14ac:dyDescent="0.25">
      <c r="A324" s="948"/>
      <c r="B324" s="733"/>
      <c r="C324" s="733"/>
      <c r="D324" s="290" t="s">
        <v>358</v>
      </c>
      <c r="E324" s="291">
        <v>27200000</v>
      </c>
      <c r="F324" s="291">
        <v>12965333</v>
      </c>
      <c r="G324" s="292"/>
      <c r="H324" s="88"/>
      <c r="I324" s="88"/>
      <c r="J324" s="293"/>
      <c r="K324" s="88"/>
      <c r="L324" s="88"/>
      <c r="M324" s="88"/>
      <c r="N324" s="294"/>
      <c r="O324" s="88"/>
      <c r="P324" s="88"/>
      <c r="Q324" s="88"/>
      <c r="R324" s="88"/>
      <c r="S324" s="88"/>
      <c r="T324" s="88"/>
      <c r="U324" s="88"/>
      <c r="V324" s="88"/>
      <c r="W324" s="88"/>
      <c r="X324" s="88"/>
      <c r="Y324" s="88"/>
      <c r="Z324" s="88"/>
      <c r="AA324" s="88"/>
      <c r="AB324" s="88"/>
      <c r="AC324" s="88"/>
      <c r="AD324" s="88"/>
      <c r="AE324" s="88"/>
      <c r="AF324" s="88"/>
      <c r="AG324" s="88"/>
      <c r="AH324" s="88"/>
    </row>
    <row r="325" spans="1:34" ht="69.75" customHeight="1" x14ac:dyDescent="0.25">
      <c r="A325" s="948"/>
      <c r="B325" s="965" t="s">
        <v>967</v>
      </c>
      <c r="C325" s="965" t="s">
        <v>968</v>
      </c>
      <c r="D325" s="295" t="s">
        <v>362</v>
      </c>
      <c r="E325" s="291">
        <v>67897116</v>
      </c>
      <c r="F325" s="291">
        <v>28290500</v>
      </c>
      <c r="G325" s="292"/>
      <c r="H325" s="88"/>
      <c r="I325" s="88"/>
      <c r="J325" s="293"/>
      <c r="K325" s="88"/>
      <c r="L325" s="88"/>
      <c r="M325" s="88"/>
      <c r="N325" s="294"/>
      <c r="O325" s="88"/>
      <c r="P325" s="88"/>
      <c r="Q325" s="88"/>
      <c r="R325" s="88"/>
      <c r="S325" s="88"/>
      <c r="T325" s="88"/>
      <c r="U325" s="88"/>
      <c r="V325" s="88"/>
      <c r="W325" s="88"/>
      <c r="X325" s="88"/>
      <c r="Y325" s="88"/>
      <c r="Z325" s="88"/>
      <c r="AA325" s="88"/>
      <c r="AB325" s="88"/>
      <c r="AC325" s="88"/>
      <c r="AD325" s="88"/>
      <c r="AE325" s="88"/>
      <c r="AF325" s="88"/>
      <c r="AG325" s="88"/>
      <c r="AH325" s="88"/>
    </row>
    <row r="326" spans="1:34" ht="69.75" customHeight="1" x14ac:dyDescent="0.25">
      <c r="A326" s="948"/>
      <c r="B326" s="694"/>
      <c r="C326" s="694"/>
      <c r="D326" s="295" t="s">
        <v>1148</v>
      </c>
      <c r="E326" s="291">
        <v>375068706</v>
      </c>
      <c r="F326" s="291">
        <v>155398666</v>
      </c>
      <c r="G326" s="292"/>
      <c r="H326" s="88"/>
      <c r="I326" s="88"/>
      <c r="J326" s="293"/>
      <c r="K326" s="88"/>
      <c r="L326" s="88"/>
      <c r="M326" s="88"/>
      <c r="N326" s="294"/>
      <c r="O326" s="88"/>
      <c r="P326" s="88"/>
      <c r="Q326" s="88"/>
      <c r="R326" s="88"/>
      <c r="S326" s="88"/>
      <c r="T326" s="88"/>
      <c r="U326" s="88"/>
      <c r="V326" s="88"/>
      <c r="W326" s="88"/>
      <c r="X326" s="88"/>
      <c r="Y326" s="88"/>
      <c r="Z326" s="88"/>
      <c r="AA326" s="88"/>
      <c r="AB326" s="88"/>
      <c r="AC326" s="88"/>
      <c r="AD326" s="88"/>
      <c r="AE326" s="88"/>
      <c r="AF326" s="88"/>
      <c r="AG326" s="88"/>
      <c r="AH326" s="88"/>
    </row>
    <row r="327" spans="1:34" ht="69.75" customHeight="1" x14ac:dyDescent="0.25">
      <c r="A327" s="948"/>
      <c r="B327" s="694"/>
      <c r="C327" s="694"/>
      <c r="D327" s="295" t="s">
        <v>1149</v>
      </c>
      <c r="E327" s="291">
        <v>313790000</v>
      </c>
      <c r="F327" s="291">
        <v>135982800</v>
      </c>
      <c r="G327" s="292"/>
      <c r="H327" s="88"/>
      <c r="I327" s="88"/>
      <c r="J327" s="293"/>
      <c r="K327" s="88"/>
      <c r="L327" s="88"/>
      <c r="M327" s="88"/>
      <c r="N327" s="294"/>
      <c r="O327" s="88"/>
      <c r="P327" s="88"/>
      <c r="Q327" s="88"/>
      <c r="R327" s="88"/>
      <c r="S327" s="88"/>
      <c r="T327" s="88"/>
      <c r="U327" s="88"/>
      <c r="V327" s="88"/>
      <c r="W327" s="88"/>
      <c r="X327" s="88"/>
      <c r="Y327" s="88"/>
      <c r="Z327" s="88"/>
      <c r="AA327" s="88"/>
      <c r="AB327" s="88"/>
      <c r="AC327" s="88"/>
      <c r="AD327" s="88"/>
      <c r="AE327" s="88"/>
      <c r="AF327" s="88"/>
      <c r="AG327" s="88"/>
      <c r="AH327" s="88"/>
    </row>
    <row r="328" spans="1:34" ht="69.75" customHeight="1" x14ac:dyDescent="0.25">
      <c r="A328" s="948"/>
      <c r="B328" s="733"/>
      <c r="C328" s="733"/>
      <c r="D328" s="295" t="s">
        <v>891</v>
      </c>
      <c r="E328" s="296">
        <v>443325000</v>
      </c>
      <c r="F328" s="296">
        <v>192585734</v>
      </c>
      <c r="G328" s="298"/>
      <c r="H328" s="88"/>
      <c r="I328" s="88"/>
      <c r="J328" s="293"/>
      <c r="K328" s="88"/>
      <c r="L328" s="88"/>
      <c r="M328" s="88"/>
      <c r="N328" s="294"/>
      <c r="O328" s="88"/>
      <c r="P328" s="88"/>
      <c r="Q328" s="88"/>
      <c r="R328" s="88"/>
      <c r="S328" s="88"/>
      <c r="T328" s="88"/>
      <c r="U328" s="88"/>
      <c r="V328" s="88"/>
      <c r="W328" s="88"/>
      <c r="X328" s="88"/>
      <c r="Y328" s="88"/>
      <c r="Z328" s="88"/>
      <c r="AA328" s="88"/>
      <c r="AB328" s="88"/>
      <c r="AC328" s="88"/>
      <c r="AD328" s="88"/>
      <c r="AE328" s="88"/>
      <c r="AF328" s="88"/>
      <c r="AG328" s="88"/>
      <c r="AH328" s="88"/>
    </row>
    <row r="329" spans="1:34" ht="69.75" customHeight="1" x14ac:dyDescent="0.25">
      <c r="A329" s="948"/>
      <c r="B329" s="30" t="s">
        <v>971</v>
      </c>
      <c r="C329" s="30" t="s">
        <v>972</v>
      </c>
      <c r="D329" s="295" t="s">
        <v>1150</v>
      </c>
      <c r="E329" s="291">
        <v>222016000</v>
      </c>
      <c r="F329" s="291">
        <v>86883434</v>
      </c>
      <c r="G329" s="292"/>
      <c r="H329" s="88"/>
      <c r="I329" s="88"/>
      <c r="J329" s="293"/>
      <c r="K329" s="88"/>
      <c r="L329" s="88"/>
      <c r="M329" s="88"/>
      <c r="N329" s="294"/>
      <c r="O329" s="88"/>
      <c r="P329" s="88"/>
      <c r="Q329" s="88"/>
      <c r="R329" s="88"/>
      <c r="S329" s="88"/>
      <c r="T329" s="88"/>
      <c r="U329" s="88"/>
      <c r="V329" s="88"/>
      <c r="W329" s="88"/>
      <c r="X329" s="88"/>
      <c r="Y329" s="88"/>
      <c r="Z329" s="88"/>
      <c r="AA329" s="88"/>
      <c r="AB329" s="88"/>
      <c r="AC329" s="88"/>
      <c r="AD329" s="88"/>
      <c r="AE329" s="88"/>
      <c r="AF329" s="88"/>
      <c r="AG329" s="88"/>
      <c r="AH329" s="88"/>
    </row>
    <row r="330" spans="1:34" ht="69.75" customHeight="1" x14ac:dyDescent="0.25">
      <c r="A330" s="953"/>
      <c r="B330" s="30" t="s">
        <v>975</v>
      </c>
      <c r="C330" s="30" t="s">
        <v>976</v>
      </c>
      <c r="D330" s="295" t="s">
        <v>381</v>
      </c>
      <c r="E330" s="291">
        <v>754641627</v>
      </c>
      <c r="F330" s="291">
        <v>291259304</v>
      </c>
      <c r="G330" s="292"/>
      <c r="H330" s="88"/>
      <c r="I330" s="88"/>
      <c r="J330" s="293"/>
      <c r="K330" s="88"/>
      <c r="L330" s="88"/>
      <c r="M330" s="88"/>
      <c r="N330" s="294"/>
      <c r="O330" s="88"/>
      <c r="P330" s="88"/>
      <c r="Q330" s="88"/>
      <c r="R330" s="88"/>
      <c r="S330" s="88"/>
      <c r="T330" s="88"/>
      <c r="U330" s="88"/>
      <c r="V330" s="88"/>
      <c r="W330" s="88"/>
      <c r="X330" s="88"/>
      <c r="Y330" s="88"/>
      <c r="Z330" s="88"/>
      <c r="AA330" s="88"/>
      <c r="AB330" s="88"/>
      <c r="AC330" s="88"/>
      <c r="AD330" s="88"/>
      <c r="AE330" s="88"/>
      <c r="AF330" s="88"/>
      <c r="AG330" s="88"/>
      <c r="AH330" s="88"/>
    </row>
    <row r="331" spans="1:34" ht="69.75" customHeight="1" x14ac:dyDescent="0.25">
      <c r="A331" s="952" t="s">
        <v>932</v>
      </c>
      <c r="B331" s="957" t="s">
        <v>963</v>
      </c>
      <c r="C331" s="957" t="s">
        <v>964</v>
      </c>
      <c r="D331" s="290" t="s">
        <v>344</v>
      </c>
      <c r="E331" s="291">
        <v>605339000</v>
      </c>
      <c r="F331" s="291">
        <v>276425767</v>
      </c>
      <c r="G331" s="292"/>
      <c r="H331" s="88"/>
      <c r="I331" s="88"/>
      <c r="J331" s="293"/>
      <c r="K331" s="88"/>
      <c r="L331" s="88"/>
      <c r="M331" s="88"/>
      <c r="N331" s="294"/>
      <c r="O331" s="88"/>
      <c r="P331" s="88"/>
      <c r="Q331" s="88"/>
      <c r="R331" s="88"/>
      <c r="S331" s="88"/>
      <c r="T331" s="88"/>
      <c r="U331" s="88"/>
      <c r="V331" s="88"/>
      <c r="W331" s="88"/>
      <c r="X331" s="88"/>
      <c r="Y331" s="88"/>
      <c r="Z331" s="88"/>
      <c r="AA331" s="88"/>
      <c r="AB331" s="88"/>
      <c r="AC331" s="88"/>
      <c r="AD331" s="88"/>
      <c r="AE331" s="88"/>
      <c r="AF331" s="88"/>
      <c r="AG331" s="88"/>
      <c r="AH331" s="88"/>
    </row>
    <row r="332" spans="1:34" ht="69.75" customHeight="1" x14ac:dyDescent="0.25">
      <c r="A332" s="948"/>
      <c r="B332" s="694"/>
      <c r="C332" s="694"/>
      <c r="D332" s="290" t="s">
        <v>355</v>
      </c>
      <c r="E332" s="291">
        <v>172920000</v>
      </c>
      <c r="F332" s="291">
        <v>91215300</v>
      </c>
      <c r="G332" s="292"/>
      <c r="H332" s="88"/>
      <c r="I332" s="88"/>
      <c r="J332" s="293"/>
      <c r="K332" s="88"/>
      <c r="L332" s="88"/>
      <c r="M332" s="88"/>
      <c r="N332" s="294"/>
      <c r="O332" s="88"/>
      <c r="P332" s="88"/>
      <c r="Q332" s="88"/>
      <c r="R332" s="88"/>
      <c r="S332" s="88"/>
      <c r="T332" s="88"/>
      <c r="U332" s="88"/>
      <c r="V332" s="88"/>
      <c r="W332" s="88"/>
      <c r="X332" s="88"/>
      <c r="Y332" s="88"/>
      <c r="Z332" s="88"/>
      <c r="AA332" s="88"/>
      <c r="AB332" s="88"/>
      <c r="AC332" s="88"/>
      <c r="AD332" s="88"/>
      <c r="AE332" s="88"/>
      <c r="AF332" s="88"/>
      <c r="AG332" s="88"/>
      <c r="AH332" s="88"/>
    </row>
    <row r="333" spans="1:34" ht="69.75" customHeight="1" x14ac:dyDescent="0.25">
      <c r="A333" s="948"/>
      <c r="B333" s="733"/>
      <c r="C333" s="733"/>
      <c r="D333" s="290" t="s">
        <v>358</v>
      </c>
      <c r="E333" s="291">
        <v>29920000</v>
      </c>
      <c r="F333" s="291">
        <v>15685333</v>
      </c>
      <c r="G333" s="292"/>
      <c r="H333" s="88"/>
      <c r="I333" s="88"/>
      <c r="J333" s="293"/>
      <c r="K333" s="88"/>
      <c r="L333" s="88"/>
      <c r="M333" s="88"/>
      <c r="N333" s="294"/>
      <c r="O333" s="88"/>
      <c r="P333" s="88"/>
      <c r="Q333" s="88"/>
      <c r="R333" s="88"/>
      <c r="S333" s="88"/>
      <c r="T333" s="88"/>
      <c r="U333" s="88"/>
      <c r="V333" s="88"/>
      <c r="W333" s="88"/>
      <c r="X333" s="88"/>
      <c r="Y333" s="88"/>
      <c r="Z333" s="88"/>
      <c r="AA333" s="88"/>
      <c r="AB333" s="88"/>
      <c r="AC333" s="88"/>
      <c r="AD333" s="88"/>
      <c r="AE333" s="88"/>
      <c r="AF333" s="88"/>
      <c r="AG333" s="88"/>
      <c r="AH333" s="88"/>
    </row>
    <row r="334" spans="1:34" ht="69.75" customHeight="1" x14ac:dyDescent="0.25">
      <c r="A334" s="948"/>
      <c r="B334" s="965" t="s">
        <v>967</v>
      </c>
      <c r="C334" s="965" t="s">
        <v>968</v>
      </c>
      <c r="D334" s="295" t="s">
        <v>362</v>
      </c>
      <c r="E334" s="291">
        <v>76788500</v>
      </c>
      <c r="F334" s="291">
        <v>36373500</v>
      </c>
      <c r="G334" s="292"/>
      <c r="H334" s="88"/>
      <c r="I334" s="88"/>
      <c r="J334" s="293"/>
      <c r="K334" s="88"/>
      <c r="L334" s="88"/>
      <c r="M334" s="88"/>
      <c r="N334" s="294"/>
      <c r="O334" s="88"/>
      <c r="P334" s="88"/>
      <c r="Q334" s="88"/>
      <c r="R334" s="88"/>
      <c r="S334" s="88"/>
      <c r="T334" s="88"/>
      <c r="U334" s="88"/>
      <c r="V334" s="88"/>
      <c r="W334" s="88"/>
      <c r="X334" s="88"/>
      <c r="Y334" s="88"/>
      <c r="Z334" s="88"/>
      <c r="AA334" s="88"/>
      <c r="AB334" s="88"/>
      <c r="AC334" s="88"/>
      <c r="AD334" s="88"/>
      <c r="AE334" s="88"/>
      <c r="AF334" s="88"/>
      <c r="AG334" s="88"/>
      <c r="AH334" s="88"/>
    </row>
    <row r="335" spans="1:34" ht="69.75" customHeight="1" x14ac:dyDescent="0.25">
      <c r="A335" s="948"/>
      <c r="B335" s="694"/>
      <c r="C335" s="694"/>
      <c r="D335" s="295" t="s">
        <v>1148</v>
      </c>
      <c r="E335" s="291">
        <v>734844689</v>
      </c>
      <c r="F335" s="291">
        <v>198746666</v>
      </c>
      <c r="G335" s="292"/>
      <c r="H335" s="88"/>
      <c r="I335" s="88"/>
      <c r="J335" s="293"/>
      <c r="K335" s="88"/>
      <c r="L335" s="88"/>
      <c r="M335" s="88"/>
      <c r="N335" s="294"/>
      <c r="O335" s="88"/>
      <c r="P335" s="88"/>
      <c r="Q335" s="88"/>
      <c r="R335" s="88"/>
      <c r="S335" s="88"/>
      <c r="T335" s="88"/>
      <c r="U335" s="88"/>
      <c r="V335" s="88"/>
      <c r="W335" s="88"/>
      <c r="X335" s="88"/>
      <c r="Y335" s="88"/>
      <c r="Z335" s="88"/>
      <c r="AA335" s="88"/>
      <c r="AB335" s="88"/>
      <c r="AC335" s="88"/>
      <c r="AD335" s="88"/>
      <c r="AE335" s="88"/>
      <c r="AF335" s="88"/>
      <c r="AG335" s="88"/>
      <c r="AH335" s="88"/>
    </row>
    <row r="336" spans="1:34" ht="69.75" customHeight="1" x14ac:dyDescent="0.25">
      <c r="A336" s="948"/>
      <c r="B336" s="694"/>
      <c r="C336" s="694"/>
      <c r="D336" s="295" t="s">
        <v>1149</v>
      </c>
      <c r="E336" s="291">
        <v>333790000</v>
      </c>
      <c r="F336" s="291">
        <v>163923800</v>
      </c>
      <c r="G336" s="292"/>
      <c r="H336" s="88"/>
      <c r="I336" s="88"/>
      <c r="J336" s="293"/>
      <c r="K336" s="88"/>
      <c r="L336" s="88"/>
      <c r="M336" s="88"/>
      <c r="N336" s="294"/>
      <c r="O336" s="88"/>
      <c r="P336" s="88"/>
      <c r="Q336" s="88"/>
      <c r="R336" s="88"/>
      <c r="S336" s="88"/>
      <c r="T336" s="88"/>
      <c r="U336" s="88"/>
      <c r="V336" s="88"/>
      <c r="W336" s="88"/>
      <c r="X336" s="88"/>
      <c r="Y336" s="88"/>
      <c r="Z336" s="88"/>
      <c r="AA336" s="88"/>
      <c r="AB336" s="88"/>
      <c r="AC336" s="88"/>
      <c r="AD336" s="88"/>
      <c r="AE336" s="88"/>
      <c r="AF336" s="88"/>
      <c r="AG336" s="88"/>
      <c r="AH336" s="88"/>
    </row>
    <row r="337" spans="1:34" ht="69.75" customHeight="1" x14ac:dyDescent="0.25">
      <c r="A337" s="948"/>
      <c r="B337" s="733"/>
      <c r="C337" s="733"/>
      <c r="D337" s="295" t="s">
        <v>891</v>
      </c>
      <c r="E337" s="296">
        <v>443888000</v>
      </c>
      <c r="F337" s="296">
        <v>239079734</v>
      </c>
      <c r="G337" s="298"/>
      <c r="H337" s="88"/>
      <c r="I337" s="88"/>
      <c r="J337" s="293"/>
      <c r="K337" s="88"/>
      <c r="L337" s="88"/>
      <c r="M337" s="88"/>
      <c r="N337" s="294"/>
      <c r="O337" s="88"/>
      <c r="P337" s="88"/>
      <c r="Q337" s="88"/>
      <c r="R337" s="88"/>
      <c r="S337" s="88"/>
      <c r="T337" s="88"/>
      <c r="U337" s="88"/>
      <c r="V337" s="88"/>
      <c r="W337" s="88"/>
      <c r="X337" s="88"/>
      <c r="Y337" s="88"/>
      <c r="Z337" s="88"/>
      <c r="AA337" s="88"/>
      <c r="AB337" s="88"/>
      <c r="AC337" s="88"/>
      <c r="AD337" s="88"/>
      <c r="AE337" s="88"/>
      <c r="AF337" s="88"/>
      <c r="AG337" s="88"/>
      <c r="AH337" s="88"/>
    </row>
    <row r="338" spans="1:34" ht="69.75" customHeight="1" x14ac:dyDescent="0.25">
      <c r="A338" s="948"/>
      <c r="B338" s="30" t="s">
        <v>971</v>
      </c>
      <c r="C338" s="30" t="s">
        <v>972</v>
      </c>
      <c r="D338" s="295" t="s">
        <v>1150</v>
      </c>
      <c r="E338" s="291">
        <v>277709000</v>
      </c>
      <c r="F338" s="291">
        <v>109027434</v>
      </c>
      <c r="G338" s="292"/>
      <c r="H338" s="88"/>
      <c r="I338" s="88"/>
      <c r="J338" s="293"/>
      <c r="K338" s="88"/>
      <c r="L338" s="88"/>
      <c r="M338" s="88"/>
      <c r="N338" s="294"/>
      <c r="O338" s="88"/>
      <c r="P338" s="88"/>
      <c r="Q338" s="88"/>
      <c r="R338" s="88"/>
      <c r="S338" s="88"/>
      <c r="T338" s="88"/>
      <c r="U338" s="88"/>
      <c r="V338" s="88"/>
      <c r="W338" s="88"/>
      <c r="X338" s="88"/>
      <c r="Y338" s="88"/>
      <c r="Z338" s="88"/>
      <c r="AA338" s="88"/>
      <c r="AB338" s="88"/>
      <c r="AC338" s="88"/>
      <c r="AD338" s="88"/>
      <c r="AE338" s="88"/>
      <c r="AF338" s="88"/>
      <c r="AG338" s="88"/>
      <c r="AH338" s="88"/>
    </row>
    <row r="339" spans="1:34" ht="69.75" customHeight="1" x14ac:dyDescent="0.25">
      <c r="A339" s="953"/>
      <c r="B339" s="30" t="s">
        <v>975</v>
      </c>
      <c r="C339" s="30" t="s">
        <v>976</v>
      </c>
      <c r="D339" s="295" t="s">
        <v>381</v>
      </c>
      <c r="E339" s="291">
        <v>779641627</v>
      </c>
      <c r="F339" s="291">
        <v>382449164</v>
      </c>
      <c r="G339" s="292"/>
      <c r="H339" s="88"/>
      <c r="I339" s="88"/>
      <c r="J339" s="293"/>
      <c r="K339" s="88"/>
      <c r="L339" s="88"/>
      <c r="M339" s="88"/>
      <c r="N339" s="294"/>
      <c r="O339" s="88"/>
      <c r="P339" s="88"/>
      <c r="Q339" s="88"/>
      <c r="R339" s="88"/>
      <c r="S339" s="88"/>
      <c r="T339" s="88"/>
      <c r="U339" s="88"/>
      <c r="V339" s="88"/>
      <c r="W339" s="88"/>
      <c r="X339" s="88"/>
      <c r="Y339" s="88"/>
      <c r="Z339" s="88"/>
      <c r="AA339" s="88"/>
      <c r="AB339" s="88"/>
      <c r="AC339" s="88"/>
      <c r="AD339" s="88"/>
      <c r="AE339" s="88"/>
      <c r="AF339" s="88"/>
      <c r="AG339" s="88"/>
      <c r="AH339" s="88"/>
    </row>
    <row r="340" spans="1:34" ht="69.75" customHeight="1" x14ac:dyDescent="0.25">
      <c r="A340" s="952" t="s">
        <v>933</v>
      </c>
      <c r="B340" s="957" t="s">
        <v>963</v>
      </c>
      <c r="C340" s="957" t="s">
        <v>964</v>
      </c>
      <c r="D340" s="290" t="s">
        <v>344</v>
      </c>
      <c r="E340" s="291">
        <v>605339000</v>
      </c>
      <c r="F340" s="291">
        <v>327742767</v>
      </c>
      <c r="G340" s="292"/>
      <c r="H340" s="88"/>
      <c r="I340" s="88"/>
      <c r="J340" s="293"/>
      <c r="K340" s="88"/>
      <c r="L340" s="88"/>
      <c r="M340" s="88"/>
      <c r="N340" s="294"/>
      <c r="O340" s="88"/>
      <c r="P340" s="88"/>
      <c r="Q340" s="88"/>
      <c r="R340" s="88"/>
      <c r="S340" s="88"/>
      <c r="T340" s="88"/>
      <c r="U340" s="88"/>
      <c r="V340" s="88"/>
      <c r="W340" s="88"/>
      <c r="X340" s="88"/>
      <c r="Y340" s="88"/>
      <c r="Z340" s="88"/>
      <c r="AA340" s="88"/>
      <c r="AB340" s="88"/>
      <c r="AC340" s="88"/>
      <c r="AD340" s="88"/>
      <c r="AE340" s="88"/>
      <c r="AF340" s="88"/>
      <c r="AG340" s="88"/>
      <c r="AH340" s="88"/>
    </row>
    <row r="341" spans="1:34" ht="69.75" customHeight="1" x14ac:dyDescent="0.25">
      <c r="A341" s="948"/>
      <c r="B341" s="694"/>
      <c r="C341" s="694"/>
      <c r="D341" s="290" t="s">
        <v>355</v>
      </c>
      <c r="E341" s="291">
        <v>172920000</v>
      </c>
      <c r="F341" s="291">
        <v>108507300</v>
      </c>
      <c r="G341" s="292"/>
      <c r="H341" s="88"/>
      <c r="I341" s="88"/>
      <c r="J341" s="293"/>
      <c r="K341" s="88"/>
      <c r="L341" s="88"/>
      <c r="M341" s="88"/>
      <c r="N341" s="294"/>
      <c r="O341" s="88"/>
      <c r="P341" s="88"/>
      <c r="Q341" s="88"/>
      <c r="R341" s="88"/>
      <c r="S341" s="88"/>
      <c r="T341" s="88"/>
      <c r="U341" s="88"/>
      <c r="V341" s="88"/>
      <c r="W341" s="88"/>
      <c r="X341" s="88"/>
      <c r="Y341" s="88"/>
      <c r="Z341" s="88"/>
      <c r="AA341" s="88"/>
      <c r="AB341" s="88"/>
      <c r="AC341" s="88"/>
      <c r="AD341" s="88"/>
      <c r="AE341" s="88"/>
      <c r="AF341" s="88"/>
      <c r="AG341" s="88"/>
      <c r="AH341" s="88"/>
    </row>
    <row r="342" spans="1:34" ht="69.75" customHeight="1" x14ac:dyDescent="0.25">
      <c r="A342" s="948"/>
      <c r="B342" s="733"/>
      <c r="C342" s="733"/>
      <c r="D342" s="290" t="s">
        <v>358</v>
      </c>
      <c r="E342" s="291">
        <v>29920000</v>
      </c>
      <c r="F342" s="291">
        <v>18405333</v>
      </c>
      <c r="G342" s="292"/>
      <c r="H342" s="88"/>
      <c r="I342" s="88"/>
      <c r="J342" s="293"/>
      <c r="K342" s="88"/>
      <c r="L342" s="88"/>
      <c r="M342" s="88"/>
      <c r="N342" s="294"/>
      <c r="O342" s="88"/>
      <c r="P342" s="88"/>
      <c r="Q342" s="88"/>
      <c r="R342" s="88"/>
      <c r="S342" s="88"/>
      <c r="T342" s="88"/>
      <c r="U342" s="88"/>
      <c r="V342" s="88"/>
      <c r="W342" s="88"/>
      <c r="X342" s="88"/>
      <c r="Y342" s="88"/>
      <c r="Z342" s="88"/>
      <c r="AA342" s="88"/>
      <c r="AB342" s="88"/>
      <c r="AC342" s="88"/>
      <c r="AD342" s="88"/>
      <c r="AE342" s="88"/>
      <c r="AF342" s="88"/>
      <c r="AG342" s="88"/>
      <c r="AH342" s="88"/>
    </row>
    <row r="343" spans="1:34" ht="69.75" customHeight="1" x14ac:dyDescent="0.25">
      <c r="A343" s="948"/>
      <c r="B343" s="965" t="s">
        <v>967</v>
      </c>
      <c r="C343" s="965" t="s">
        <v>968</v>
      </c>
      <c r="D343" s="295" t="s">
        <v>362</v>
      </c>
      <c r="E343" s="291">
        <v>76788500</v>
      </c>
      <c r="F343" s="291">
        <v>44456500</v>
      </c>
      <c r="G343" s="292"/>
      <c r="H343" s="88"/>
      <c r="I343" s="88"/>
      <c r="J343" s="293"/>
      <c r="K343" s="88"/>
      <c r="L343" s="88"/>
      <c r="M343" s="88"/>
      <c r="N343" s="294"/>
      <c r="O343" s="88"/>
      <c r="P343" s="88"/>
      <c r="Q343" s="88"/>
      <c r="R343" s="88"/>
      <c r="S343" s="88"/>
      <c r="T343" s="88"/>
      <c r="U343" s="88"/>
      <c r="V343" s="88"/>
      <c r="W343" s="88"/>
      <c r="X343" s="88"/>
      <c r="Y343" s="88"/>
      <c r="Z343" s="88"/>
      <c r="AA343" s="88"/>
      <c r="AB343" s="88"/>
      <c r="AC343" s="88"/>
      <c r="AD343" s="88"/>
      <c r="AE343" s="88"/>
      <c r="AF343" s="88"/>
      <c r="AG343" s="88"/>
      <c r="AH343" s="88"/>
    </row>
    <row r="344" spans="1:34" ht="69.75" customHeight="1" x14ac:dyDescent="0.25">
      <c r="A344" s="948"/>
      <c r="B344" s="694"/>
      <c r="C344" s="694"/>
      <c r="D344" s="295" t="s">
        <v>1148</v>
      </c>
      <c r="E344" s="291">
        <v>734844689</v>
      </c>
      <c r="F344" s="291">
        <v>242094666</v>
      </c>
      <c r="G344" s="292"/>
      <c r="H344" s="88"/>
      <c r="I344" s="88"/>
      <c r="J344" s="293"/>
      <c r="K344" s="88"/>
      <c r="L344" s="88"/>
      <c r="M344" s="88"/>
      <c r="N344" s="294"/>
      <c r="O344" s="88"/>
      <c r="P344" s="88"/>
      <c r="Q344" s="88"/>
      <c r="R344" s="88"/>
      <c r="S344" s="88"/>
      <c r="T344" s="88"/>
      <c r="U344" s="88"/>
      <c r="V344" s="88"/>
      <c r="W344" s="88"/>
      <c r="X344" s="88"/>
      <c r="Y344" s="88"/>
      <c r="Z344" s="88"/>
      <c r="AA344" s="88"/>
      <c r="AB344" s="88"/>
      <c r="AC344" s="88"/>
      <c r="AD344" s="88"/>
      <c r="AE344" s="88"/>
      <c r="AF344" s="88"/>
      <c r="AG344" s="88"/>
      <c r="AH344" s="88"/>
    </row>
    <row r="345" spans="1:34" ht="69.75" customHeight="1" x14ac:dyDescent="0.25">
      <c r="A345" s="948"/>
      <c r="B345" s="694"/>
      <c r="C345" s="694"/>
      <c r="D345" s="295" t="s">
        <v>1149</v>
      </c>
      <c r="E345" s="291">
        <v>333790000</v>
      </c>
      <c r="F345" s="291">
        <v>195302800</v>
      </c>
      <c r="G345" s="292"/>
      <c r="H345" s="88"/>
      <c r="I345" s="88"/>
      <c r="J345" s="293"/>
      <c r="K345" s="88"/>
      <c r="L345" s="88"/>
      <c r="M345" s="88"/>
      <c r="N345" s="294"/>
      <c r="O345" s="88"/>
      <c r="P345" s="88"/>
      <c r="Q345" s="88"/>
      <c r="R345" s="88"/>
      <c r="S345" s="88"/>
      <c r="T345" s="88"/>
      <c r="U345" s="88"/>
      <c r="V345" s="88"/>
      <c r="W345" s="88"/>
      <c r="X345" s="88"/>
      <c r="Y345" s="88"/>
      <c r="Z345" s="88"/>
      <c r="AA345" s="88"/>
      <c r="AB345" s="88"/>
      <c r="AC345" s="88"/>
      <c r="AD345" s="88"/>
      <c r="AE345" s="88"/>
      <c r="AF345" s="88"/>
      <c r="AG345" s="88"/>
      <c r="AH345" s="88"/>
    </row>
    <row r="346" spans="1:34" ht="69.75" customHeight="1" x14ac:dyDescent="0.25">
      <c r="A346" s="948"/>
      <c r="B346" s="733"/>
      <c r="C346" s="733"/>
      <c r="D346" s="295" t="s">
        <v>891</v>
      </c>
      <c r="E346" s="296">
        <v>443888000</v>
      </c>
      <c r="F346" s="296">
        <v>281250734</v>
      </c>
      <c r="G346" s="298"/>
      <c r="H346" s="88"/>
      <c r="I346" s="88"/>
      <c r="J346" s="293"/>
      <c r="K346" s="88"/>
      <c r="L346" s="88"/>
      <c r="M346" s="88"/>
      <c r="N346" s="294"/>
      <c r="O346" s="88"/>
      <c r="P346" s="88"/>
      <c r="Q346" s="88"/>
      <c r="R346" s="88"/>
      <c r="S346" s="88"/>
      <c r="T346" s="88"/>
      <c r="U346" s="88"/>
      <c r="V346" s="88"/>
      <c r="W346" s="88"/>
      <c r="X346" s="88"/>
      <c r="Y346" s="88"/>
      <c r="Z346" s="88"/>
      <c r="AA346" s="88"/>
      <c r="AB346" s="88"/>
      <c r="AC346" s="88"/>
      <c r="AD346" s="88"/>
      <c r="AE346" s="88"/>
      <c r="AF346" s="88"/>
      <c r="AG346" s="88"/>
      <c r="AH346" s="88"/>
    </row>
    <row r="347" spans="1:34" ht="69.75" customHeight="1" x14ac:dyDescent="0.25">
      <c r="A347" s="948"/>
      <c r="B347" s="30" t="s">
        <v>971</v>
      </c>
      <c r="C347" s="30" t="s">
        <v>972</v>
      </c>
      <c r="D347" s="295" t="s">
        <v>1150</v>
      </c>
      <c r="E347" s="291">
        <v>277709000</v>
      </c>
      <c r="F347" s="291">
        <v>135160101</v>
      </c>
      <c r="G347" s="292"/>
      <c r="H347" s="88"/>
      <c r="I347" s="88"/>
      <c r="J347" s="293"/>
      <c r="K347" s="88"/>
      <c r="L347" s="88"/>
      <c r="M347" s="88"/>
      <c r="N347" s="294"/>
      <c r="O347" s="88"/>
      <c r="P347" s="88"/>
      <c r="Q347" s="88"/>
      <c r="R347" s="88"/>
      <c r="S347" s="88"/>
      <c r="T347" s="88"/>
      <c r="U347" s="88"/>
      <c r="V347" s="88"/>
      <c r="W347" s="88"/>
      <c r="X347" s="88"/>
      <c r="Y347" s="88"/>
      <c r="Z347" s="88"/>
      <c r="AA347" s="88"/>
      <c r="AB347" s="88"/>
      <c r="AC347" s="88"/>
      <c r="AD347" s="88"/>
      <c r="AE347" s="88"/>
      <c r="AF347" s="88"/>
      <c r="AG347" s="88"/>
      <c r="AH347" s="88"/>
    </row>
    <row r="348" spans="1:34" ht="42.75" customHeight="1" x14ac:dyDescent="0.25">
      <c r="A348" s="953"/>
      <c r="B348" s="30" t="s">
        <v>975</v>
      </c>
      <c r="C348" s="30" t="s">
        <v>976</v>
      </c>
      <c r="D348" s="295" t="s">
        <v>381</v>
      </c>
      <c r="E348" s="291">
        <v>779641627</v>
      </c>
      <c r="F348" s="291">
        <v>454216764</v>
      </c>
      <c r="G348" s="292"/>
      <c r="H348" s="88"/>
      <c r="I348" s="88"/>
      <c r="J348" s="293"/>
      <c r="K348" s="88"/>
      <c r="L348" s="88"/>
      <c r="M348" s="88"/>
      <c r="N348" s="294"/>
      <c r="O348" s="88"/>
      <c r="P348" s="88"/>
      <c r="Q348" s="88"/>
      <c r="R348" s="88"/>
      <c r="S348" s="88"/>
      <c r="T348" s="88"/>
      <c r="U348" s="88"/>
      <c r="V348" s="88"/>
      <c r="W348" s="88"/>
      <c r="X348" s="88"/>
      <c r="Y348" s="88"/>
      <c r="Z348" s="88"/>
      <c r="AA348" s="88"/>
      <c r="AB348" s="88"/>
      <c r="AC348" s="88"/>
      <c r="AD348" s="88"/>
      <c r="AE348" s="88"/>
      <c r="AF348" s="88"/>
      <c r="AG348" s="88"/>
      <c r="AH348" s="88"/>
    </row>
    <row r="349" spans="1:34" ht="69.75" customHeight="1" x14ac:dyDescent="0.25">
      <c r="A349" s="952" t="s">
        <v>934</v>
      </c>
      <c r="B349" s="957" t="s">
        <v>963</v>
      </c>
      <c r="C349" s="957" t="s">
        <v>964</v>
      </c>
      <c r="D349" s="290" t="s">
        <v>344</v>
      </c>
      <c r="E349" s="291">
        <v>605339000</v>
      </c>
      <c r="F349" s="291">
        <v>379059767</v>
      </c>
      <c r="G349" s="292"/>
      <c r="H349" s="88"/>
      <c r="I349" s="88"/>
      <c r="J349" s="293"/>
      <c r="K349" s="88"/>
      <c r="L349" s="88"/>
      <c r="M349" s="88"/>
      <c r="N349" s="294"/>
      <c r="O349" s="88"/>
      <c r="P349" s="88"/>
      <c r="Q349" s="88"/>
      <c r="R349" s="88"/>
      <c r="S349" s="88"/>
      <c r="T349" s="88"/>
      <c r="U349" s="88"/>
      <c r="V349" s="88"/>
      <c r="W349" s="88"/>
      <c r="X349" s="88"/>
      <c r="Y349" s="88"/>
      <c r="Z349" s="88"/>
      <c r="AA349" s="88"/>
      <c r="AB349" s="88"/>
      <c r="AC349" s="88"/>
      <c r="AD349" s="88"/>
      <c r="AE349" s="88"/>
      <c r="AF349" s="88"/>
      <c r="AG349" s="88"/>
      <c r="AH349" s="88"/>
    </row>
    <row r="350" spans="1:34" ht="69.75" customHeight="1" x14ac:dyDescent="0.25">
      <c r="A350" s="948"/>
      <c r="B350" s="694"/>
      <c r="C350" s="694"/>
      <c r="D350" s="290" t="s">
        <v>355</v>
      </c>
      <c r="E350" s="291">
        <v>172920000</v>
      </c>
      <c r="F350" s="291">
        <v>125799300</v>
      </c>
      <c r="G350" s="292"/>
      <c r="H350" s="88"/>
      <c r="I350" s="88"/>
      <c r="J350" s="293"/>
      <c r="K350" s="88"/>
      <c r="L350" s="88"/>
      <c r="M350" s="88"/>
      <c r="N350" s="294"/>
      <c r="O350" s="88"/>
      <c r="P350" s="88"/>
      <c r="Q350" s="88"/>
      <c r="R350" s="88"/>
      <c r="S350" s="88"/>
      <c r="T350" s="88"/>
      <c r="U350" s="88"/>
      <c r="V350" s="88"/>
      <c r="W350" s="88"/>
      <c r="X350" s="88"/>
      <c r="Y350" s="88"/>
      <c r="Z350" s="88"/>
      <c r="AA350" s="88"/>
      <c r="AB350" s="88"/>
      <c r="AC350" s="88"/>
      <c r="AD350" s="88"/>
      <c r="AE350" s="88"/>
      <c r="AF350" s="88"/>
      <c r="AG350" s="88"/>
      <c r="AH350" s="88"/>
    </row>
    <row r="351" spans="1:34" ht="69.75" customHeight="1" x14ac:dyDescent="0.25">
      <c r="A351" s="948"/>
      <c r="B351" s="733"/>
      <c r="C351" s="733"/>
      <c r="D351" s="290" t="s">
        <v>358</v>
      </c>
      <c r="E351" s="291">
        <v>29920000</v>
      </c>
      <c r="F351" s="291">
        <v>21125333</v>
      </c>
      <c r="G351" s="292"/>
      <c r="H351" s="88"/>
      <c r="I351" s="88"/>
      <c r="J351" s="293"/>
      <c r="K351" s="88"/>
      <c r="L351" s="88"/>
      <c r="M351" s="88"/>
      <c r="N351" s="294"/>
      <c r="O351" s="88"/>
      <c r="P351" s="88"/>
      <c r="Q351" s="88"/>
      <c r="R351" s="88"/>
      <c r="S351" s="88"/>
      <c r="T351" s="88"/>
      <c r="U351" s="88"/>
      <c r="V351" s="88"/>
      <c r="W351" s="88"/>
      <c r="X351" s="88"/>
      <c r="Y351" s="88"/>
      <c r="Z351" s="88"/>
      <c r="AA351" s="88"/>
      <c r="AB351" s="88"/>
      <c r="AC351" s="88"/>
      <c r="AD351" s="88"/>
      <c r="AE351" s="88"/>
      <c r="AF351" s="88"/>
      <c r="AG351" s="88"/>
      <c r="AH351" s="88"/>
    </row>
    <row r="352" spans="1:34" ht="69.75" customHeight="1" x14ac:dyDescent="0.25">
      <c r="A352" s="948"/>
      <c r="B352" s="965" t="s">
        <v>967</v>
      </c>
      <c r="C352" s="965" t="s">
        <v>968</v>
      </c>
      <c r="D352" s="295" t="s">
        <v>362</v>
      </c>
      <c r="E352" s="291">
        <v>76788500</v>
      </c>
      <c r="F352" s="291">
        <v>52539500</v>
      </c>
      <c r="G352" s="292"/>
      <c r="H352" s="88"/>
      <c r="I352" s="88"/>
      <c r="J352" s="293"/>
      <c r="K352" s="88"/>
      <c r="L352" s="88"/>
      <c r="M352" s="88"/>
      <c r="N352" s="294"/>
      <c r="O352" s="88"/>
      <c r="P352" s="88"/>
      <c r="Q352" s="88"/>
      <c r="R352" s="88"/>
      <c r="S352" s="88"/>
      <c r="T352" s="88"/>
      <c r="U352" s="88"/>
      <c r="V352" s="88"/>
      <c r="W352" s="88"/>
      <c r="X352" s="88"/>
      <c r="Y352" s="88"/>
      <c r="Z352" s="88"/>
      <c r="AA352" s="88"/>
      <c r="AB352" s="88"/>
      <c r="AC352" s="88"/>
      <c r="AD352" s="88"/>
      <c r="AE352" s="88"/>
      <c r="AF352" s="88"/>
      <c r="AG352" s="88"/>
      <c r="AH352" s="88"/>
    </row>
    <row r="353" spans="1:34" ht="69.75" customHeight="1" x14ac:dyDescent="0.25">
      <c r="A353" s="948"/>
      <c r="B353" s="694"/>
      <c r="C353" s="694"/>
      <c r="D353" s="295" t="s">
        <v>1148</v>
      </c>
      <c r="E353" s="291">
        <v>734844689</v>
      </c>
      <c r="F353" s="291">
        <v>310195333</v>
      </c>
      <c r="G353" s="292"/>
      <c r="H353" s="88"/>
      <c r="I353" s="88"/>
      <c r="J353" s="293"/>
      <c r="K353" s="88"/>
      <c r="L353" s="88"/>
      <c r="M353" s="88"/>
      <c r="N353" s="294"/>
      <c r="O353" s="88"/>
      <c r="P353" s="88"/>
      <c r="Q353" s="88"/>
      <c r="R353" s="88"/>
      <c r="S353" s="88"/>
      <c r="T353" s="88"/>
      <c r="U353" s="88"/>
      <c r="V353" s="88"/>
      <c r="W353" s="88"/>
      <c r="X353" s="88"/>
      <c r="Y353" s="88"/>
      <c r="Z353" s="88"/>
      <c r="AA353" s="88"/>
      <c r="AB353" s="88"/>
      <c r="AC353" s="88"/>
      <c r="AD353" s="88"/>
      <c r="AE353" s="88"/>
      <c r="AF353" s="88"/>
      <c r="AG353" s="88"/>
      <c r="AH353" s="88"/>
    </row>
    <row r="354" spans="1:34" ht="69.75" customHeight="1" x14ac:dyDescent="0.25">
      <c r="A354" s="948"/>
      <c r="B354" s="694"/>
      <c r="C354" s="694"/>
      <c r="D354" s="295" t="s">
        <v>1149</v>
      </c>
      <c r="E354" s="291">
        <v>333790000</v>
      </c>
      <c r="F354" s="291">
        <v>227025600</v>
      </c>
      <c r="G354" s="292"/>
      <c r="H354" s="88"/>
      <c r="I354" s="88"/>
      <c r="J354" s="293"/>
      <c r="K354" s="88"/>
      <c r="L354" s="88"/>
      <c r="M354" s="88"/>
      <c r="N354" s="294"/>
      <c r="O354" s="88"/>
      <c r="P354" s="88"/>
      <c r="Q354" s="88"/>
      <c r="R354" s="88"/>
      <c r="S354" s="88"/>
      <c r="T354" s="88"/>
      <c r="U354" s="88"/>
      <c r="V354" s="88"/>
      <c r="W354" s="88"/>
      <c r="X354" s="88"/>
      <c r="Y354" s="88"/>
      <c r="Z354" s="88"/>
      <c r="AA354" s="88"/>
      <c r="AB354" s="88"/>
      <c r="AC354" s="88"/>
      <c r="AD354" s="88"/>
      <c r="AE354" s="88"/>
      <c r="AF354" s="88"/>
      <c r="AG354" s="88"/>
      <c r="AH354" s="88"/>
    </row>
    <row r="355" spans="1:34" ht="69.75" customHeight="1" x14ac:dyDescent="0.25">
      <c r="A355" s="948"/>
      <c r="B355" s="733"/>
      <c r="C355" s="733"/>
      <c r="D355" s="295" t="s">
        <v>891</v>
      </c>
      <c r="E355" s="296">
        <v>443888000</v>
      </c>
      <c r="F355" s="296">
        <v>326159634</v>
      </c>
      <c r="G355" s="298"/>
      <c r="H355" s="88"/>
      <c r="I355" s="88"/>
      <c r="J355" s="293"/>
      <c r="K355" s="88"/>
      <c r="L355" s="88"/>
      <c r="M355" s="88"/>
      <c r="N355" s="294"/>
      <c r="O355" s="88"/>
      <c r="P355" s="88"/>
      <c r="Q355" s="88"/>
      <c r="R355" s="88"/>
      <c r="S355" s="88"/>
      <c r="T355" s="88"/>
      <c r="U355" s="88"/>
      <c r="V355" s="88"/>
      <c r="W355" s="88"/>
      <c r="X355" s="88"/>
      <c r="Y355" s="88"/>
      <c r="Z355" s="88"/>
      <c r="AA355" s="88"/>
      <c r="AB355" s="88"/>
      <c r="AC355" s="88"/>
      <c r="AD355" s="88"/>
      <c r="AE355" s="88"/>
      <c r="AF355" s="88"/>
      <c r="AG355" s="88"/>
      <c r="AH355" s="88"/>
    </row>
    <row r="356" spans="1:34" ht="69.75" customHeight="1" x14ac:dyDescent="0.25">
      <c r="A356" s="948"/>
      <c r="B356" s="30" t="s">
        <v>971</v>
      </c>
      <c r="C356" s="30" t="s">
        <v>972</v>
      </c>
      <c r="D356" s="295" t="s">
        <v>1150</v>
      </c>
      <c r="E356" s="291">
        <v>277709000</v>
      </c>
      <c r="F356" s="291">
        <v>169864101</v>
      </c>
      <c r="G356" s="292"/>
      <c r="H356" s="88"/>
      <c r="I356" s="88"/>
      <c r="J356" s="293"/>
      <c r="K356" s="88"/>
      <c r="L356" s="88"/>
      <c r="M356" s="88"/>
      <c r="N356" s="294"/>
      <c r="O356" s="88"/>
      <c r="P356" s="88"/>
      <c r="Q356" s="88"/>
      <c r="R356" s="88"/>
      <c r="S356" s="88"/>
      <c r="T356" s="88"/>
      <c r="U356" s="88"/>
      <c r="V356" s="88"/>
      <c r="W356" s="88"/>
      <c r="X356" s="88"/>
      <c r="Y356" s="88"/>
      <c r="Z356" s="88"/>
      <c r="AA356" s="88"/>
      <c r="AB356" s="88"/>
      <c r="AC356" s="88"/>
      <c r="AD356" s="88"/>
      <c r="AE356" s="88"/>
      <c r="AF356" s="88"/>
      <c r="AG356" s="88"/>
      <c r="AH356" s="88"/>
    </row>
    <row r="357" spans="1:34" ht="69.75" customHeight="1" x14ac:dyDescent="0.25">
      <c r="A357" s="953"/>
      <c r="B357" s="30" t="s">
        <v>975</v>
      </c>
      <c r="C357" s="30" t="s">
        <v>976</v>
      </c>
      <c r="D357" s="295" t="s">
        <v>381</v>
      </c>
      <c r="E357" s="291">
        <v>779641627</v>
      </c>
      <c r="F357" s="291">
        <v>520123927</v>
      </c>
      <c r="G357" s="292"/>
      <c r="H357" s="88"/>
      <c r="I357" s="88"/>
      <c r="J357" s="293"/>
      <c r="K357" s="88"/>
      <c r="L357" s="88"/>
      <c r="M357" s="88"/>
      <c r="N357" s="294"/>
      <c r="O357" s="88"/>
      <c r="P357" s="88"/>
      <c r="Q357" s="88"/>
      <c r="R357" s="88"/>
      <c r="S357" s="88"/>
      <c r="T357" s="88"/>
      <c r="U357" s="88"/>
      <c r="V357" s="88"/>
      <c r="W357" s="88"/>
      <c r="X357" s="88"/>
      <c r="Y357" s="88"/>
      <c r="Z357" s="88"/>
      <c r="AA357" s="88"/>
      <c r="AB357" s="88"/>
      <c r="AC357" s="88"/>
      <c r="AD357" s="88"/>
      <c r="AE357" s="88"/>
      <c r="AF357" s="88"/>
      <c r="AG357" s="88"/>
      <c r="AH357" s="88"/>
    </row>
    <row r="358" spans="1:34" ht="69.75" customHeight="1" x14ac:dyDescent="0.25">
      <c r="A358" s="952" t="s">
        <v>936</v>
      </c>
      <c r="B358" s="957" t="s">
        <v>963</v>
      </c>
      <c r="C358" s="957" t="s">
        <v>964</v>
      </c>
      <c r="D358" s="290" t="s">
        <v>344</v>
      </c>
      <c r="E358" s="291">
        <v>605339000</v>
      </c>
      <c r="F358" s="291">
        <v>430376767</v>
      </c>
      <c r="G358" s="292"/>
      <c r="H358" s="88"/>
      <c r="I358" s="88"/>
      <c r="J358" s="293"/>
      <c r="K358" s="88"/>
      <c r="L358" s="88"/>
      <c r="M358" s="88"/>
      <c r="N358" s="294"/>
      <c r="O358" s="88"/>
      <c r="P358" s="88"/>
      <c r="Q358" s="88"/>
      <c r="R358" s="88"/>
      <c r="S358" s="88"/>
      <c r="T358" s="88"/>
      <c r="U358" s="88"/>
      <c r="V358" s="88"/>
      <c r="W358" s="88"/>
      <c r="X358" s="88"/>
      <c r="Y358" s="88"/>
      <c r="Z358" s="88"/>
      <c r="AA358" s="88"/>
      <c r="AB358" s="88"/>
      <c r="AC358" s="88"/>
      <c r="AD358" s="88"/>
      <c r="AE358" s="88"/>
      <c r="AF358" s="88"/>
      <c r="AG358" s="88"/>
      <c r="AH358" s="88"/>
    </row>
    <row r="359" spans="1:34" ht="69.75" customHeight="1" x14ac:dyDescent="0.25">
      <c r="A359" s="948"/>
      <c r="B359" s="694"/>
      <c r="C359" s="694"/>
      <c r="D359" s="290" t="s">
        <v>355</v>
      </c>
      <c r="E359" s="291">
        <v>172920000</v>
      </c>
      <c r="F359" s="291">
        <v>143091300</v>
      </c>
      <c r="G359" s="292"/>
      <c r="H359" s="88"/>
      <c r="I359" s="88"/>
      <c r="J359" s="293"/>
      <c r="K359" s="88"/>
      <c r="L359" s="88"/>
      <c r="M359" s="88"/>
      <c r="N359" s="294"/>
      <c r="O359" s="88"/>
      <c r="P359" s="88"/>
      <c r="Q359" s="88"/>
      <c r="R359" s="88"/>
      <c r="S359" s="88"/>
      <c r="T359" s="88"/>
      <c r="U359" s="88"/>
      <c r="V359" s="88"/>
      <c r="W359" s="88"/>
      <c r="X359" s="88"/>
      <c r="Y359" s="88"/>
      <c r="Z359" s="88"/>
      <c r="AA359" s="88"/>
      <c r="AB359" s="88"/>
      <c r="AC359" s="88"/>
      <c r="AD359" s="88"/>
      <c r="AE359" s="88"/>
      <c r="AF359" s="88"/>
      <c r="AG359" s="88"/>
      <c r="AH359" s="88"/>
    </row>
    <row r="360" spans="1:34" ht="69.75" customHeight="1" x14ac:dyDescent="0.25">
      <c r="A360" s="948"/>
      <c r="B360" s="733"/>
      <c r="C360" s="733"/>
      <c r="D360" s="290" t="s">
        <v>358</v>
      </c>
      <c r="E360" s="291">
        <v>29920000</v>
      </c>
      <c r="F360" s="291">
        <v>23845333</v>
      </c>
      <c r="G360" s="292"/>
      <c r="H360" s="88"/>
      <c r="I360" s="88"/>
      <c r="J360" s="293"/>
      <c r="K360" s="88"/>
      <c r="L360" s="88"/>
      <c r="M360" s="88"/>
      <c r="N360" s="294"/>
      <c r="O360" s="88"/>
      <c r="P360" s="88"/>
      <c r="Q360" s="88"/>
      <c r="R360" s="88"/>
      <c r="S360" s="88"/>
      <c r="T360" s="88"/>
      <c r="U360" s="88"/>
      <c r="V360" s="88"/>
      <c r="W360" s="88"/>
      <c r="X360" s="88"/>
      <c r="Y360" s="88"/>
      <c r="Z360" s="88"/>
      <c r="AA360" s="88"/>
      <c r="AB360" s="88"/>
      <c r="AC360" s="88"/>
      <c r="AD360" s="88"/>
      <c r="AE360" s="88"/>
      <c r="AF360" s="88"/>
      <c r="AG360" s="88"/>
      <c r="AH360" s="88"/>
    </row>
    <row r="361" spans="1:34" ht="69.75" customHeight="1" x14ac:dyDescent="0.25">
      <c r="A361" s="948"/>
      <c r="B361" s="965" t="s">
        <v>967</v>
      </c>
      <c r="C361" s="965" t="s">
        <v>968</v>
      </c>
      <c r="D361" s="295" t="s">
        <v>362</v>
      </c>
      <c r="E361" s="291">
        <v>76788500</v>
      </c>
      <c r="F361" s="291">
        <v>60622500</v>
      </c>
      <c r="G361" s="292"/>
      <c r="H361" s="88"/>
      <c r="I361" s="88"/>
      <c r="J361" s="293"/>
      <c r="K361" s="88"/>
      <c r="L361" s="88"/>
      <c r="M361" s="88"/>
      <c r="N361" s="294"/>
      <c r="O361" s="88"/>
      <c r="P361" s="88"/>
      <c r="Q361" s="88"/>
      <c r="R361" s="88"/>
      <c r="S361" s="88"/>
      <c r="T361" s="88"/>
      <c r="U361" s="88"/>
      <c r="V361" s="88"/>
      <c r="W361" s="88"/>
      <c r="X361" s="88"/>
      <c r="Y361" s="88"/>
      <c r="Z361" s="88"/>
      <c r="AA361" s="88"/>
      <c r="AB361" s="88"/>
      <c r="AC361" s="88"/>
      <c r="AD361" s="88"/>
      <c r="AE361" s="88"/>
      <c r="AF361" s="88"/>
      <c r="AG361" s="88"/>
      <c r="AH361" s="88"/>
    </row>
    <row r="362" spans="1:34" ht="69.75" customHeight="1" x14ac:dyDescent="0.25">
      <c r="A362" s="948"/>
      <c r="B362" s="694"/>
      <c r="C362" s="694"/>
      <c r="D362" s="295" t="s">
        <v>1148</v>
      </c>
      <c r="E362" s="291">
        <v>709813189</v>
      </c>
      <c r="F362" s="291">
        <v>420167333</v>
      </c>
      <c r="G362" s="292"/>
      <c r="H362" s="88"/>
      <c r="I362" s="88"/>
      <c r="J362" s="293"/>
      <c r="K362" s="88"/>
      <c r="L362" s="88"/>
      <c r="M362" s="88"/>
      <c r="N362" s="294"/>
      <c r="O362" s="88"/>
      <c r="P362" s="88"/>
      <c r="Q362" s="88"/>
      <c r="R362" s="88"/>
      <c r="S362" s="88"/>
      <c r="T362" s="88"/>
      <c r="U362" s="88"/>
      <c r="V362" s="88"/>
      <c r="W362" s="88"/>
      <c r="X362" s="88"/>
      <c r="Y362" s="88"/>
      <c r="Z362" s="88"/>
      <c r="AA362" s="88"/>
      <c r="AB362" s="88"/>
      <c r="AC362" s="88"/>
      <c r="AD362" s="88"/>
      <c r="AE362" s="88"/>
      <c r="AF362" s="88"/>
      <c r="AG362" s="88"/>
      <c r="AH362" s="88"/>
    </row>
    <row r="363" spans="1:34" ht="69.75" customHeight="1" x14ac:dyDescent="0.25">
      <c r="A363" s="948"/>
      <c r="B363" s="694"/>
      <c r="C363" s="694"/>
      <c r="D363" s="295" t="s">
        <v>1149</v>
      </c>
      <c r="E363" s="291">
        <v>333790000</v>
      </c>
      <c r="F363" s="291">
        <v>269177000</v>
      </c>
      <c r="G363" s="292"/>
      <c r="H363" s="88"/>
      <c r="I363" s="88"/>
      <c r="J363" s="293"/>
      <c r="K363" s="88"/>
      <c r="L363" s="88"/>
      <c r="M363" s="88"/>
      <c r="N363" s="294"/>
      <c r="O363" s="88"/>
      <c r="P363" s="88"/>
      <c r="Q363" s="88"/>
      <c r="R363" s="88"/>
      <c r="S363" s="88"/>
      <c r="T363" s="88"/>
      <c r="U363" s="88"/>
      <c r="V363" s="88"/>
      <c r="W363" s="88"/>
      <c r="X363" s="88"/>
      <c r="Y363" s="88"/>
      <c r="Z363" s="88"/>
      <c r="AA363" s="88"/>
      <c r="AB363" s="88"/>
      <c r="AC363" s="88"/>
      <c r="AD363" s="88"/>
      <c r="AE363" s="88"/>
      <c r="AF363" s="88"/>
      <c r="AG363" s="88"/>
      <c r="AH363" s="88"/>
    </row>
    <row r="364" spans="1:34" ht="69.75" customHeight="1" x14ac:dyDescent="0.25">
      <c r="A364" s="948"/>
      <c r="B364" s="733"/>
      <c r="C364" s="733"/>
      <c r="D364" s="295" t="s">
        <v>891</v>
      </c>
      <c r="E364" s="296">
        <v>447929500</v>
      </c>
      <c r="F364" s="296">
        <v>372653634</v>
      </c>
      <c r="G364" s="298"/>
      <c r="H364" s="88"/>
      <c r="I364" s="88"/>
      <c r="J364" s="293"/>
      <c r="K364" s="88"/>
      <c r="L364" s="88"/>
      <c r="M364" s="88"/>
      <c r="N364" s="294"/>
      <c r="O364" s="88"/>
      <c r="P364" s="88"/>
      <c r="Q364" s="88"/>
      <c r="R364" s="88"/>
      <c r="S364" s="88"/>
      <c r="T364" s="88"/>
      <c r="U364" s="88"/>
      <c r="V364" s="88"/>
      <c r="W364" s="88"/>
      <c r="X364" s="88"/>
      <c r="Y364" s="88"/>
      <c r="Z364" s="88"/>
      <c r="AA364" s="88"/>
      <c r="AB364" s="88"/>
      <c r="AC364" s="88"/>
      <c r="AD364" s="88"/>
      <c r="AE364" s="88"/>
      <c r="AF364" s="88"/>
      <c r="AG364" s="88"/>
      <c r="AH364" s="88"/>
    </row>
    <row r="365" spans="1:34" ht="69.75" customHeight="1" x14ac:dyDescent="0.25">
      <c r="A365" s="948"/>
      <c r="B365" s="30" t="s">
        <v>971</v>
      </c>
      <c r="C365" s="30" t="s">
        <v>972</v>
      </c>
      <c r="D365" s="295" t="s">
        <v>1150</v>
      </c>
      <c r="E365" s="291">
        <v>277709000</v>
      </c>
      <c r="F365" s="291">
        <v>204568101</v>
      </c>
      <c r="G365" s="292"/>
      <c r="H365" s="88"/>
      <c r="I365" s="88"/>
      <c r="J365" s="293"/>
      <c r="K365" s="88"/>
      <c r="L365" s="88"/>
      <c r="M365" s="88"/>
      <c r="N365" s="294"/>
      <c r="O365" s="88"/>
      <c r="P365" s="88"/>
      <c r="Q365" s="88"/>
      <c r="R365" s="88"/>
      <c r="S365" s="88"/>
      <c r="T365" s="88"/>
      <c r="U365" s="88"/>
      <c r="V365" s="88"/>
      <c r="W365" s="88"/>
      <c r="X365" s="88"/>
      <c r="Y365" s="88"/>
      <c r="Z365" s="88"/>
      <c r="AA365" s="88"/>
      <c r="AB365" s="88"/>
      <c r="AC365" s="88"/>
      <c r="AD365" s="88"/>
      <c r="AE365" s="88"/>
      <c r="AF365" s="88"/>
      <c r="AG365" s="88"/>
      <c r="AH365" s="88"/>
    </row>
    <row r="366" spans="1:34" ht="69.75" customHeight="1" x14ac:dyDescent="0.25">
      <c r="A366" s="953"/>
      <c r="B366" s="30" t="s">
        <v>975</v>
      </c>
      <c r="C366" s="30" t="s">
        <v>976</v>
      </c>
      <c r="D366" s="295" t="s">
        <v>381</v>
      </c>
      <c r="E366" s="291">
        <v>800631627</v>
      </c>
      <c r="F366" s="291">
        <v>589355555</v>
      </c>
      <c r="G366" s="292"/>
      <c r="H366" s="88"/>
      <c r="I366" s="88"/>
      <c r="J366" s="293"/>
      <c r="K366" s="88"/>
      <c r="L366" s="88"/>
      <c r="M366" s="88"/>
      <c r="N366" s="294"/>
      <c r="O366" s="88"/>
      <c r="P366" s="88"/>
      <c r="Q366" s="88"/>
      <c r="R366" s="88"/>
      <c r="S366" s="88"/>
      <c r="T366" s="88"/>
      <c r="U366" s="88"/>
      <c r="V366" s="88"/>
      <c r="W366" s="88"/>
      <c r="X366" s="88"/>
      <c r="Y366" s="88"/>
      <c r="Z366" s="88"/>
      <c r="AA366" s="88"/>
      <c r="AB366" s="88"/>
      <c r="AC366" s="88"/>
      <c r="AD366" s="88"/>
      <c r="AE366" s="88"/>
      <c r="AF366" s="88"/>
      <c r="AG366" s="88"/>
      <c r="AH366" s="88"/>
    </row>
    <row r="367" spans="1:34" ht="69.75" customHeight="1" x14ac:dyDescent="0.25">
      <c r="A367" s="952" t="s">
        <v>937</v>
      </c>
      <c r="B367" s="957" t="s">
        <v>963</v>
      </c>
      <c r="C367" s="957" t="s">
        <v>964</v>
      </c>
      <c r="D367" s="290" t="s">
        <v>344</v>
      </c>
      <c r="E367" s="291">
        <v>605339000</v>
      </c>
      <c r="F367" s="291">
        <v>527029767</v>
      </c>
      <c r="G367" s="292"/>
      <c r="H367" s="88"/>
      <c r="I367" s="88"/>
      <c r="J367" s="293"/>
      <c r="K367" s="88"/>
      <c r="L367" s="88"/>
      <c r="M367" s="88"/>
      <c r="N367" s="294"/>
      <c r="O367" s="88"/>
      <c r="P367" s="88"/>
      <c r="Q367" s="88"/>
      <c r="R367" s="88"/>
      <c r="S367" s="88"/>
      <c r="T367" s="88"/>
      <c r="U367" s="88"/>
      <c r="V367" s="88"/>
      <c r="W367" s="88"/>
      <c r="X367" s="88"/>
      <c r="Y367" s="88"/>
      <c r="Z367" s="88"/>
      <c r="AA367" s="88"/>
      <c r="AB367" s="88"/>
      <c r="AC367" s="88"/>
      <c r="AD367" s="88"/>
      <c r="AE367" s="88"/>
      <c r="AF367" s="88"/>
      <c r="AG367" s="88"/>
      <c r="AH367" s="88"/>
    </row>
    <row r="368" spans="1:34" ht="69.75" customHeight="1" x14ac:dyDescent="0.25">
      <c r="A368" s="948"/>
      <c r="B368" s="694"/>
      <c r="C368" s="694"/>
      <c r="D368" s="290" t="s">
        <v>355</v>
      </c>
      <c r="E368" s="291">
        <v>172920000</v>
      </c>
      <c r="F368" s="291">
        <v>156060300</v>
      </c>
      <c r="G368" s="292"/>
      <c r="H368" s="88"/>
      <c r="I368" s="88"/>
      <c r="J368" s="293"/>
      <c r="K368" s="88"/>
      <c r="L368" s="88"/>
      <c r="M368" s="88"/>
      <c r="N368" s="294"/>
      <c r="O368" s="88"/>
      <c r="P368" s="88"/>
      <c r="Q368" s="88"/>
      <c r="R368" s="88"/>
      <c r="S368" s="88"/>
      <c r="T368" s="88"/>
      <c r="U368" s="88"/>
      <c r="V368" s="88"/>
      <c r="W368" s="88"/>
      <c r="X368" s="88"/>
      <c r="Y368" s="88"/>
      <c r="Z368" s="88"/>
      <c r="AA368" s="88"/>
      <c r="AB368" s="88"/>
      <c r="AC368" s="88"/>
      <c r="AD368" s="88"/>
      <c r="AE368" s="88"/>
      <c r="AF368" s="88"/>
      <c r="AG368" s="88"/>
      <c r="AH368" s="88"/>
    </row>
    <row r="369" spans="1:34" ht="69.75" customHeight="1" x14ac:dyDescent="0.25">
      <c r="A369" s="948"/>
      <c r="B369" s="733"/>
      <c r="C369" s="733"/>
      <c r="D369" s="290" t="s">
        <v>358</v>
      </c>
      <c r="E369" s="291">
        <v>29920000</v>
      </c>
      <c r="F369" s="291">
        <v>26565333</v>
      </c>
      <c r="G369" s="292"/>
      <c r="H369" s="88"/>
      <c r="I369" s="88"/>
      <c r="J369" s="293"/>
      <c r="K369" s="88"/>
      <c r="L369" s="88"/>
      <c r="M369" s="88"/>
      <c r="N369" s="294"/>
      <c r="O369" s="88"/>
      <c r="P369" s="88"/>
      <c r="Q369" s="88"/>
      <c r="R369" s="88"/>
      <c r="S369" s="88"/>
      <c r="T369" s="88"/>
      <c r="U369" s="88"/>
      <c r="V369" s="88"/>
      <c r="W369" s="88"/>
      <c r="X369" s="88"/>
      <c r="Y369" s="88"/>
      <c r="Z369" s="88"/>
      <c r="AA369" s="88"/>
      <c r="AB369" s="88"/>
      <c r="AC369" s="88"/>
      <c r="AD369" s="88"/>
      <c r="AE369" s="88"/>
      <c r="AF369" s="88"/>
      <c r="AG369" s="88"/>
      <c r="AH369" s="88"/>
    </row>
    <row r="370" spans="1:34" ht="69.75" customHeight="1" x14ac:dyDescent="0.25">
      <c r="A370" s="948"/>
      <c r="B370" s="965" t="s">
        <v>967</v>
      </c>
      <c r="C370" s="965" t="s">
        <v>968</v>
      </c>
      <c r="D370" s="295" t="s">
        <v>362</v>
      </c>
      <c r="E370" s="291">
        <v>76788500</v>
      </c>
      <c r="F370" s="291">
        <v>68705500</v>
      </c>
      <c r="G370" s="292"/>
      <c r="H370" s="88"/>
      <c r="I370" s="88"/>
      <c r="J370" s="293"/>
      <c r="K370" s="88"/>
      <c r="L370" s="88"/>
      <c r="M370" s="88"/>
      <c r="N370" s="294"/>
      <c r="O370" s="88"/>
      <c r="P370" s="88"/>
      <c r="Q370" s="88"/>
      <c r="R370" s="88"/>
      <c r="S370" s="88"/>
      <c r="T370" s="88"/>
      <c r="U370" s="88"/>
      <c r="V370" s="88"/>
      <c r="W370" s="88"/>
      <c r="X370" s="88"/>
      <c r="Y370" s="88"/>
      <c r="Z370" s="88"/>
      <c r="AA370" s="88"/>
      <c r="AB370" s="88"/>
      <c r="AC370" s="88"/>
      <c r="AD370" s="88"/>
      <c r="AE370" s="88"/>
      <c r="AF370" s="88"/>
      <c r="AG370" s="88"/>
      <c r="AH370" s="88"/>
    </row>
    <row r="371" spans="1:34" ht="69.75" customHeight="1" x14ac:dyDescent="0.25">
      <c r="A371" s="948"/>
      <c r="B371" s="694"/>
      <c r="C371" s="694"/>
      <c r="D371" s="295" t="s">
        <v>1148</v>
      </c>
      <c r="E371" s="291">
        <v>709813189</v>
      </c>
      <c r="F371" s="291">
        <v>519800933</v>
      </c>
      <c r="G371" s="292"/>
      <c r="H371" s="88"/>
      <c r="I371" s="88"/>
      <c r="J371" s="293"/>
      <c r="K371" s="88"/>
      <c r="L371" s="88"/>
      <c r="M371" s="88"/>
      <c r="N371" s="294"/>
      <c r="O371" s="88"/>
      <c r="P371" s="88"/>
      <c r="Q371" s="88"/>
      <c r="R371" s="88"/>
      <c r="S371" s="88"/>
      <c r="T371" s="88"/>
      <c r="U371" s="88"/>
      <c r="V371" s="88"/>
      <c r="W371" s="88"/>
      <c r="X371" s="88"/>
      <c r="Y371" s="88"/>
      <c r="Z371" s="88"/>
      <c r="AA371" s="88"/>
      <c r="AB371" s="88"/>
      <c r="AC371" s="88"/>
      <c r="AD371" s="88"/>
      <c r="AE371" s="88"/>
      <c r="AF371" s="88"/>
      <c r="AG371" s="88"/>
      <c r="AH371" s="88"/>
    </row>
    <row r="372" spans="1:34" ht="69.75" customHeight="1" x14ac:dyDescent="0.25">
      <c r="A372" s="948"/>
      <c r="B372" s="694"/>
      <c r="C372" s="694"/>
      <c r="D372" s="295" t="s">
        <v>1149</v>
      </c>
      <c r="E372" s="291">
        <v>333790000</v>
      </c>
      <c r="F372" s="291">
        <v>305272667</v>
      </c>
      <c r="G372" s="292"/>
      <c r="H372" s="88"/>
      <c r="I372" s="88"/>
      <c r="J372" s="293"/>
      <c r="K372" s="88"/>
      <c r="L372" s="88"/>
      <c r="M372" s="88"/>
      <c r="N372" s="294"/>
      <c r="O372" s="88"/>
      <c r="P372" s="88"/>
      <c r="Q372" s="88"/>
      <c r="R372" s="88"/>
      <c r="S372" s="88"/>
      <c r="T372" s="88"/>
      <c r="U372" s="88"/>
      <c r="V372" s="88"/>
      <c r="W372" s="88"/>
      <c r="X372" s="88"/>
      <c r="Y372" s="88"/>
      <c r="Z372" s="88"/>
      <c r="AA372" s="88"/>
      <c r="AB372" s="88"/>
      <c r="AC372" s="88"/>
      <c r="AD372" s="88"/>
      <c r="AE372" s="88"/>
      <c r="AF372" s="88"/>
      <c r="AG372" s="88"/>
      <c r="AH372" s="88"/>
    </row>
    <row r="373" spans="1:34" ht="69.75" customHeight="1" x14ac:dyDescent="0.25">
      <c r="A373" s="948"/>
      <c r="B373" s="733"/>
      <c r="C373" s="733"/>
      <c r="D373" s="295" t="s">
        <v>891</v>
      </c>
      <c r="E373" s="296">
        <v>447929500</v>
      </c>
      <c r="F373" s="296">
        <v>418978967</v>
      </c>
      <c r="G373" s="298"/>
      <c r="H373" s="88"/>
      <c r="I373" s="88"/>
      <c r="J373" s="293"/>
      <c r="K373" s="88"/>
      <c r="L373" s="88"/>
      <c r="M373" s="88"/>
      <c r="N373" s="294"/>
      <c r="O373" s="88"/>
      <c r="P373" s="88"/>
      <c r="Q373" s="88"/>
      <c r="R373" s="88"/>
      <c r="S373" s="88"/>
      <c r="T373" s="88"/>
      <c r="U373" s="88"/>
      <c r="V373" s="88"/>
      <c r="W373" s="88"/>
      <c r="X373" s="88"/>
      <c r="Y373" s="88"/>
      <c r="Z373" s="88"/>
      <c r="AA373" s="88"/>
      <c r="AB373" s="88"/>
      <c r="AC373" s="88"/>
      <c r="AD373" s="88"/>
      <c r="AE373" s="88"/>
      <c r="AF373" s="88"/>
      <c r="AG373" s="88"/>
      <c r="AH373" s="88"/>
    </row>
    <row r="374" spans="1:34" ht="69.75" customHeight="1" x14ac:dyDescent="0.25">
      <c r="A374" s="948"/>
      <c r="B374" s="30" t="s">
        <v>971</v>
      </c>
      <c r="C374" s="30" t="s">
        <v>972</v>
      </c>
      <c r="D374" s="295" t="s">
        <v>1150</v>
      </c>
      <c r="E374" s="291">
        <v>277709000</v>
      </c>
      <c r="F374" s="291">
        <v>241317968</v>
      </c>
      <c r="G374" s="292"/>
      <c r="H374" s="88"/>
      <c r="I374" s="88"/>
      <c r="J374" s="293"/>
      <c r="K374" s="88"/>
      <c r="L374" s="88"/>
      <c r="M374" s="88"/>
      <c r="N374" s="294"/>
      <c r="O374" s="88"/>
      <c r="P374" s="88"/>
      <c r="Q374" s="88"/>
      <c r="R374" s="88"/>
      <c r="S374" s="88"/>
      <c r="T374" s="88"/>
      <c r="U374" s="88"/>
      <c r="V374" s="88"/>
      <c r="W374" s="88"/>
      <c r="X374" s="88"/>
      <c r="Y374" s="88"/>
      <c r="Z374" s="88"/>
      <c r="AA374" s="88"/>
      <c r="AB374" s="88"/>
      <c r="AC374" s="88"/>
      <c r="AD374" s="88"/>
      <c r="AE374" s="88"/>
      <c r="AF374" s="88"/>
      <c r="AG374" s="88"/>
      <c r="AH374" s="88"/>
    </row>
    <row r="375" spans="1:34" ht="69.75" customHeight="1" x14ac:dyDescent="0.25">
      <c r="A375" s="953"/>
      <c r="B375" s="30" t="s">
        <v>975</v>
      </c>
      <c r="C375" s="30" t="s">
        <v>976</v>
      </c>
      <c r="D375" s="295" t="s">
        <v>381</v>
      </c>
      <c r="E375" s="291">
        <v>800631627</v>
      </c>
      <c r="F375" s="291">
        <v>709899829</v>
      </c>
      <c r="G375" s="292"/>
      <c r="H375" s="88"/>
      <c r="I375" s="88"/>
      <c r="J375" s="293"/>
      <c r="K375" s="88"/>
      <c r="L375" s="88"/>
      <c r="M375" s="88"/>
      <c r="N375" s="294"/>
      <c r="O375" s="88"/>
      <c r="P375" s="88"/>
      <c r="Q375" s="88"/>
      <c r="R375" s="88"/>
      <c r="S375" s="88"/>
      <c r="T375" s="88"/>
      <c r="U375" s="88"/>
      <c r="V375" s="88"/>
      <c r="W375" s="88"/>
      <c r="X375" s="88"/>
      <c r="Y375" s="88"/>
      <c r="Z375" s="88"/>
      <c r="AA375" s="88"/>
      <c r="AB375" s="88"/>
      <c r="AC375" s="88"/>
      <c r="AD375" s="88"/>
      <c r="AE375" s="88"/>
      <c r="AF375" s="88"/>
      <c r="AG375" s="88"/>
      <c r="AH375" s="88"/>
    </row>
    <row r="376" spans="1:34" ht="15.75" customHeight="1" x14ac:dyDescent="0.25">
      <c r="B376" s="161"/>
      <c r="C376" s="162"/>
      <c r="D376" s="162"/>
      <c r="J376" s="125"/>
      <c r="N376" s="162"/>
    </row>
    <row r="377" spans="1:34" ht="15.75" customHeight="1" x14ac:dyDescent="0.25">
      <c r="B377" s="161"/>
      <c r="C377" s="162"/>
      <c r="D377" s="162"/>
      <c r="J377" s="125"/>
      <c r="N377" s="162"/>
    </row>
    <row r="378" spans="1:34" ht="15.75" customHeight="1" x14ac:dyDescent="0.3">
      <c r="A378" s="956" t="s">
        <v>1154</v>
      </c>
      <c r="B378" s="679"/>
      <c r="C378" s="679"/>
      <c r="D378" s="679"/>
      <c r="E378" s="679"/>
      <c r="F378" s="679"/>
      <c r="G378" s="721"/>
      <c r="J378" s="125"/>
      <c r="N378" s="162"/>
    </row>
    <row r="379" spans="1:34" ht="66" customHeight="1" x14ac:dyDescent="0.25">
      <c r="A379" s="163" t="s">
        <v>26</v>
      </c>
      <c r="B379" s="136" t="s">
        <v>950</v>
      </c>
      <c r="C379" s="136" t="s">
        <v>951</v>
      </c>
      <c r="D379" s="136" t="s">
        <v>1144</v>
      </c>
      <c r="E379" s="136" t="s">
        <v>1155</v>
      </c>
      <c r="F379" s="136" t="s">
        <v>1156</v>
      </c>
      <c r="G379" s="279" t="s">
        <v>1147</v>
      </c>
      <c r="J379" s="125"/>
      <c r="N379" s="162"/>
    </row>
    <row r="380" spans="1:34" ht="69.75" customHeight="1" x14ac:dyDescent="0.25">
      <c r="A380" s="952" t="s">
        <v>939</v>
      </c>
      <c r="B380" s="957" t="s">
        <v>963</v>
      </c>
      <c r="C380" s="957" t="s">
        <v>964</v>
      </c>
      <c r="D380" s="290" t="s">
        <v>344</v>
      </c>
      <c r="E380" s="291">
        <v>574654000</v>
      </c>
      <c r="F380" s="61">
        <v>0</v>
      </c>
      <c r="G380" s="292"/>
      <c r="H380" s="88"/>
      <c r="I380" s="88"/>
      <c r="J380" s="293"/>
      <c r="K380" s="88"/>
      <c r="L380" s="88"/>
      <c r="M380" s="88"/>
      <c r="N380" s="294"/>
      <c r="O380" s="88"/>
      <c r="P380" s="88"/>
      <c r="Q380" s="88"/>
      <c r="R380" s="88"/>
      <c r="S380" s="88"/>
      <c r="T380" s="88"/>
      <c r="U380" s="88"/>
      <c r="V380" s="88"/>
      <c r="W380" s="88"/>
      <c r="X380" s="88"/>
      <c r="Y380" s="88"/>
      <c r="Z380" s="88"/>
      <c r="AA380" s="88"/>
      <c r="AB380" s="88"/>
      <c r="AC380" s="88"/>
      <c r="AD380" s="88"/>
      <c r="AE380" s="88"/>
      <c r="AF380" s="88"/>
      <c r="AG380" s="88"/>
      <c r="AH380" s="88"/>
    </row>
    <row r="381" spans="1:34" ht="69.75" customHeight="1" x14ac:dyDescent="0.25">
      <c r="A381" s="948"/>
      <c r="B381" s="694"/>
      <c r="C381" s="694"/>
      <c r="D381" s="290" t="s">
        <v>355</v>
      </c>
      <c r="E381" s="291">
        <v>198130000</v>
      </c>
      <c r="F381" s="61">
        <v>0</v>
      </c>
      <c r="G381" s="292"/>
      <c r="H381" s="88"/>
      <c r="I381" s="88"/>
      <c r="J381" s="293"/>
      <c r="K381" s="88"/>
      <c r="L381" s="88"/>
      <c r="M381" s="88"/>
      <c r="N381" s="294"/>
      <c r="O381" s="88"/>
      <c r="P381" s="88"/>
      <c r="Q381" s="88"/>
      <c r="R381" s="88"/>
      <c r="S381" s="88"/>
      <c r="T381" s="88"/>
      <c r="U381" s="88"/>
      <c r="V381" s="88"/>
      <c r="W381" s="88"/>
      <c r="X381" s="88"/>
      <c r="Y381" s="88"/>
      <c r="Z381" s="88"/>
      <c r="AA381" s="88"/>
      <c r="AB381" s="88"/>
      <c r="AC381" s="88"/>
      <c r="AD381" s="88"/>
      <c r="AE381" s="88"/>
      <c r="AF381" s="88"/>
      <c r="AG381" s="88"/>
      <c r="AH381" s="88"/>
    </row>
    <row r="382" spans="1:34" ht="69.75" customHeight="1" x14ac:dyDescent="0.25">
      <c r="A382" s="948"/>
      <c r="B382" s="733"/>
      <c r="C382" s="733"/>
      <c r="D382" s="290" t="s">
        <v>358</v>
      </c>
      <c r="E382" s="291">
        <v>34285000</v>
      </c>
      <c r="F382" s="61">
        <v>0</v>
      </c>
      <c r="G382" s="292"/>
      <c r="H382" s="88"/>
      <c r="I382" s="88"/>
      <c r="J382" s="293"/>
      <c r="K382" s="88"/>
      <c r="L382" s="88"/>
      <c r="M382" s="88"/>
      <c r="N382" s="294"/>
      <c r="O382" s="88"/>
      <c r="P382" s="88"/>
      <c r="Q382" s="88"/>
      <c r="R382" s="88"/>
      <c r="S382" s="88"/>
      <c r="T382" s="88"/>
      <c r="U382" s="88"/>
      <c r="V382" s="88"/>
      <c r="W382" s="88"/>
      <c r="X382" s="88"/>
      <c r="Y382" s="88"/>
      <c r="Z382" s="88"/>
      <c r="AA382" s="88"/>
      <c r="AB382" s="88"/>
      <c r="AC382" s="88"/>
      <c r="AD382" s="88"/>
      <c r="AE382" s="88"/>
      <c r="AF382" s="88"/>
      <c r="AG382" s="88"/>
      <c r="AH382" s="88"/>
    </row>
    <row r="383" spans="1:34" ht="69.75" customHeight="1" x14ac:dyDescent="0.25">
      <c r="A383" s="948"/>
      <c r="B383" s="965" t="s">
        <v>967</v>
      </c>
      <c r="C383" s="965" t="s">
        <v>968</v>
      </c>
      <c r="D383" s="295" t="s">
        <v>362</v>
      </c>
      <c r="E383" s="291">
        <v>68299000</v>
      </c>
      <c r="F383" s="61">
        <v>0</v>
      </c>
      <c r="G383" s="292"/>
      <c r="H383" s="88"/>
      <c r="I383" s="88"/>
      <c r="J383" s="293"/>
      <c r="K383" s="88"/>
      <c r="L383" s="88"/>
      <c r="M383" s="88"/>
      <c r="N383" s="294"/>
      <c r="O383" s="88"/>
      <c r="P383" s="88"/>
      <c r="Q383" s="88"/>
      <c r="R383" s="88"/>
      <c r="S383" s="88"/>
      <c r="T383" s="88"/>
      <c r="U383" s="88"/>
      <c r="V383" s="88"/>
      <c r="W383" s="88"/>
      <c r="X383" s="88"/>
      <c r="Y383" s="88"/>
      <c r="Z383" s="88"/>
      <c r="AA383" s="88"/>
      <c r="AB383" s="88"/>
      <c r="AC383" s="88"/>
      <c r="AD383" s="88"/>
      <c r="AE383" s="88"/>
      <c r="AF383" s="88"/>
      <c r="AG383" s="88"/>
      <c r="AH383" s="88"/>
    </row>
    <row r="384" spans="1:34" ht="69.75" customHeight="1" x14ac:dyDescent="0.25">
      <c r="A384" s="948"/>
      <c r="B384" s="694"/>
      <c r="C384" s="694"/>
      <c r="D384" s="295" t="s">
        <v>1148</v>
      </c>
      <c r="E384" s="291">
        <v>699388000</v>
      </c>
      <c r="F384" s="61">
        <v>0</v>
      </c>
      <c r="G384" s="292"/>
      <c r="H384" s="88"/>
      <c r="I384" s="88"/>
      <c r="J384" s="293"/>
      <c r="K384" s="88"/>
      <c r="L384" s="88"/>
      <c r="M384" s="88"/>
      <c r="N384" s="294"/>
      <c r="O384" s="88"/>
      <c r="P384" s="88"/>
      <c r="Q384" s="88"/>
      <c r="R384" s="88"/>
      <c r="S384" s="88"/>
      <c r="T384" s="88"/>
      <c r="U384" s="88"/>
      <c r="V384" s="88"/>
      <c r="W384" s="88"/>
      <c r="X384" s="88"/>
      <c r="Y384" s="88"/>
      <c r="Z384" s="88"/>
      <c r="AA384" s="88"/>
      <c r="AB384" s="88"/>
      <c r="AC384" s="88"/>
      <c r="AD384" s="88"/>
      <c r="AE384" s="88"/>
      <c r="AF384" s="88"/>
      <c r="AG384" s="88"/>
      <c r="AH384" s="88"/>
    </row>
    <row r="385" spans="1:34" ht="69.75" customHeight="1" x14ac:dyDescent="0.25">
      <c r="A385" s="948"/>
      <c r="B385" s="694"/>
      <c r="C385" s="694"/>
      <c r="D385" s="295" t="s">
        <v>1149</v>
      </c>
      <c r="E385" s="291">
        <v>349839000</v>
      </c>
      <c r="F385" s="61">
        <v>0</v>
      </c>
      <c r="G385" s="292"/>
      <c r="H385" s="88"/>
      <c r="I385" s="88"/>
      <c r="J385" s="293"/>
      <c r="K385" s="88"/>
      <c r="L385" s="88"/>
      <c r="M385" s="88"/>
      <c r="N385" s="294"/>
      <c r="O385" s="88"/>
      <c r="P385" s="88"/>
      <c r="Q385" s="88"/>
      <c r="R385" s="88"/>
      <c r="S385" s="88"/>
      <c r="T385" s="88"/>
      <c r="U385" s="88"/>
      <c r="V385" s="88"/>
      <c r="W385" s="88"/>
      <c r="X385" s="88"/>
      <c r="Y385" s="88"/>
      <c r="Z385" s="88"/>
      <c r="AA385" s="88"/>
      <c r="AB385" s="88"/>
      <c r="AC385" s="88"/>
      <c r="AD385" s="88"/>
      <c r="AE385" s="88"/>
      <c r="AF385" s="88"/>
      <c r="AG385" s="88"/>
      <c r="AH385" s="88"/>
    </row>
    <row r="386" spans="1:34" ht="69.75" customHeight="1" x14ac:dyDescent="0.25">
      <c r="A386" s="948"/>
      <c r="B386" s="733"/>
      <c r="C386" s="733"/>
      <c r="D386" s="295" t="s">
        <v>891</v>
      </c>
      <c r="E386" s="296">
        <v>482999000</v>
      </c>
      <c r="F386" s="297">
        <v>0</v>
      </c>
      <c r="G386" s="298"/>
      <c r="H386" s="88"/>
      <c r="I386" s="88"/>
      <c r="J386" s="293"/>
      <c r="K386" s="88"/>
      <c r="L386" s="88"/>
      <c r="M386" s="88"/>
      <c r="N386" s="294"/>
      <c r="O386" s="88"/>
      <c r="P386" s="88"/>
      <c r="Q386" s="88"/>
      <c r="R386" s="88"/>
      <c r="S386" s="88"/>
      <c r="T386" s="88"/>
      <c r="U386" s="88"/>
      <c r="V386" s="88"/>
      <c r="W386" s="88"/>
      <c r="X386" s="88"/>
      <c r="Y386" s="88"/>
      <c r="Z386" s="88"/>
      <c r="AA386" s="88"/>
      <c r="AB386" s="88"/>
      <c r="AC386" s="88"/>
      <c r="AD386" s="88"/>
      <c r="AE386" s="88"/>
      <c r="AF386" s="88"/>
      <c r="AG386" s="88"/>
      <c r="AH386" s="88"/>
    </row>
    <row r="387" spans="1:34" ht="69.75" customHeight="1" x14ac:dyDescent="0.25">
      <c r="A387" s="948"/>
      <c r="B387" s="30" t="s">
        <v>971</v>
      </c>
      <c r="C387" s="30" t="s">
        <v>972</v>
      </c>
      <c r="D387" s="295" t="s">
        <v>1150</v>
      </c>
      <c r="E387" s="291">
        <v>250350000</v>
      </c>
      <c r="F387" s="61">
        <v>0</v>
      </c>
      <c r="G387" s="292"/>
      <c r="H387" s="88"/>
      <c r="I387" s="88"/>
      <c r="J387" s="293"/>
      <c r="K387" s="88"/>
      <c r="L387" s="88"/>
      <c r="M387" s="88"/>
      <c r="N387" s="294"/>
      <c r="O387" s="88"/>
      <c r="P387" s="88"/>
      <c r="Q387" s="88"/>
      <c r="R387" s="88"/>
      <c r="S387" s="88"/>
      <c r="T387" s="88"/>
      <c r="U387" s="88"/>
      <c r="V387" s="88"/>
      <c r="W387" s="88"/>
      <c r="X387" s="88"/>
      <c r="Y387" s="88"/>
      <c r="Z387" s="88"/>
      <c r="AA387" s="88"/>
      <c r="AB387" s="88"/>
      <c r="AC387" s="88"/>
      <c r="AD387" s="88"/>
      <c r="AE387" s="88"/>
      <c r="AF387" s="88"/>
      <c r="AG387" s="88"/>
      <c r="AH387" s="88"/>
    </row>
    <row r="388" spans="1:34" ht="69.75" customHeight="1" x14ac:dyDescent="0.25">
      <c r="A388" s="953"/>
      <c r="B388" s="30" t="s">
        <v>975</v>
      </c>
      <c r="C388" s="30" t="s">
        <v>976</v>
      </c>
      <c r="D388" s="295" t="s">
        <v>381</v>
      </c>
      <c r="E388" s="291">
        <v>801561000</v>
      </c>
      <c r="F388" s="61">
        <v>0</v>
      </c>
      <c r="G388" s="292"/>
      <c r="H388" s="88"/>
      <c r="I388" s="88"/>
      <c r="J388" s="293"/>
      <c r="K388" s="88"/>
      <c r="L388" s="88"/>
      <c r="M388" s="88"/>
      <c r="N388" s="294"/>
      <c r="O388" s="88"/>
      <c r="P388" s="88"/>
      <c r="Q388" s="88"/>
      <c r="R388" s="88"/>
      <c r="S388" s="88"/>
      <c r="T388" s="88"/>
      <c r="U388" s="88"/>
      <c r="V388" s="88"/>
      <c r="W388" s="88"/>
      <c r="X388" s="88"/>
      <c r="Y388" s="88"/>
      <c r="Z388" s="88"/>
      <c r="AA388" s="88"/>
      <c r="AB388" s="88"/>
      <c r="AC388" s="88"/>
      <c r="AD388" s="88"/>
      <c r="AE388" s="88"/>
      <c r="AF388" s="88"/>
      <c r="AG388" s="88"/>
      <c r="AH388" s="88"/>
    </row>
    <row r="389" spans="1:34" ht="69.75" customHeight="1" x14ac:dyDescent="0.25">
      <c r="A389" s="952" t="s">
        <v>940</v>
      </c>
      <c r="B389" s="957" t="s">
        <v>963</v>
      </c>
      <c r="C389" s="957" t="s">
        <v>964</v>
      </c>
      <c r="D389" s="290" t="s">
        <v>344</v>
      </c>
      <c r="E389" s="291">
        <v>574654000</v>
      </c>
      <c r="F389" s="61">
        <v>0</v>
      </c>
      <c r="G389" s="292"/>
      <c r="H389" s="88"/>
      <c r="I389" s="88"/>
      <c r="J389" s="293"/>
      <c r="K389" s="88"/>
      <c r="L389" s="88"/>
      <c r="M389" s="88"/>
      <c r="N389" s="294"/>
      <c r="O389" s="88"/>
      <c r="P389" s="88"/>
      <c r="Q389" s="88"/>
      <c r="R389" s="88"/>
      <c r="S389" s="88"/>
      <c r="T389" s="88"/>
      <c r="U389" s="88"/>
      <c r="V389" s="88"/>
      <c r="W389" s="88"/>
      <c r="X389" s="88"/>
      <c r="Y389" s="88"/>
      <c r="Z389" s="88"/>
      <c r="AA389" s="88"/>
      <c r="AB389" s="88"/>
      <c r="AC389" s="88"/>
      <c r="AD389" s="88"/>
      <c r="AE389" s="88"/>
      <c r="AF389" s="88"/>
      <c r="AG389" s="88"/>
      <c r="AH389" s="88"/>
    </row>
    <row r="390" spans="1:34" ht="69.75" customHeight="1" x14ac:dyDescent="0.25">
      <c r="A390" s="948"/>
      <c r="B390" s="694"/>
      <c r="C390" s="694"/>
      <c r="D390" s="290" t="s">
        <v>355</v>
      </c>
      <c r="E390" s="291">
        <v>198130000</v>
      </c>
      <c r="F390" s="61">
        <v>0</v>
      </c>
      <c r="G390" s="292"/>
      <c r="H390" s="88"/>
      <c r="I390" s="88"/>
      <c r="J390" s="293"/>
      <c r="K390" s="88"/>
      <c r="L390" s="88"/>
      <c r="M390" s="88"/>
      <c r="N390" s="294"/>
      <c r="O390" s="88"/>
      <c r="P390" s="88"/>
      <c r="Q390" s="88"/>
      <c r="R390" s="88"/>
      <c r="S390" s="88"/>
      <c r="T390" s="88"/>
      <c r="U390" s="88"/>
      <c r="V390" s="88"/>
      <c r="W390" s="88"/>
      <c r="X390" s="88"/>
      <c r="Y390" s="88"/>
      <c r="Z390" s="88"/>
      <c r="AA390" s="88"/>
      <c r="AB390" s="88"/>
      <c r="AC390" s="88"/>
      <c r="AD390" s="88"/>
      <c r="AE390" s="88"/>
      <c r="AF390" s="88"/>
      <c r="AG390" s="88"/>
      <c r="AH390" s="88"/>
    </row>
    <row r="391" spans="1:34" ht="69.75" customHeight="1" x14ac:dyDescent="0.25">
      <c r="A391" s="948"/>
      <c r="B391" s="733"/>
      <c r="C391" s="733"/>
      <c r="D391" s="290" t="s">
        <v>358</v>
      </c>
      <c r="E391" s="291">
        <v>34285000</v>
      </c>
      <c r="F391" s="61">
        <v>0</v>
      </c>
      <c r="G391" s="292"/>
      <c r="H391" s="88"/>
      <c r="I391" s="88"/>
      <c r="J391" s="293"/>
      <c r="K391" s="88"/>
      <c r="L391" s="88"/>
      <c r="M391" s="88"/>
      <c r="N391" s="294"/>
      <c r="O391" s="88"/>
      <c r="P391" s="88"/>
      <c r="Q391" s="88"/>
      <c r="R391" s="88"/>
      <c r="S391" s="88"/>
      <c r="T391" s="88"/>
      <c r="U391" s="88"/>
      <c r="V391" s="88"/>
      <c r="W391" s="88"/>
      <c r="X391" s="88"/>
      <c r="Y391" s="88"/>
      <c r="Z391" s="88"/>
      <c r="AA391" s="88"/>
      <c r="AB391" s="88"/>
      <c r="AC391" s="88"/>
      <c r="AD391" s="88"/>
      <c r="AE391" s="88"/>
      <c r="AF391" s="88"/>
      <c r="AG391" s="88"/>
      <c r="AH391" s="88"/>
    </row>
    <row r="392" spans="1:34" ht="69.75" customHeight="1" x14ac:dyDescent="0.25">
      <c r="A392" s="948"/>
      <c r="B392" s="965" t="s">
        <v>967</v>
      </c>
      <c r="C392" s="965" t="s">
        <v>968</v>
      </c>
      <c r="D392" s="295" t="s">
        <v>362</v>
      </c>
      <c r="E392" s="291">
        <v>68299000</v>
      </c>
      <c r="F392" s="61">
        <v>0</v>
      </c>
      <c r="G392" s="292"/>
      <c r="H392" s="88"/>
      <c r="I392" s="88"/>
      <c r="J392" s="293"/>
      <c r="K392" s="88"/>
      <c r="L392" s="88"/>
      <c r="M392" s="88"/>
      <c r="N392" s="294"/>
      <c r="O392" s="88"/>
      <c r="P392" s="88"/>
      <c r="Q392" s="88"/>
      <c r="R392" s="88"/>
      <c r="S392" s="88"/>
      <c r="T392" s="88"/>
      <c r="U392" s="88"/>
      <c r="V392" s="88"/>
      <c r="W392" s="88"/>
      <c r="X392" s="88"/>
      <c r="Y392" s="88"/>
      <c r="Z392" s="88"/>
      <c r="AA392" s="88"/>
      <c r="AB392" s="88"/>
      <c r="AC392" s="88"/>
      <c r="AD392" s="88"/>
      <c r="AE392" s="88"/>
      <c r="AF392" s="88"/>
      <c r="AG392" s="88"/>
      <c r="AH392" s="88"/>
    </row>
    <row r="393" spans="1:34" ht="69.75" customHeight="1" x14ac:dyDescent="0.25">
      <c r="A393" s="948"/>
      <c r="B393" s="694"/>
      <c r="C393" s="694"/>
      <c r="D393" s="295" t="s">
        <v>1148</v>
      </c>
      <c r="E393" s="291">
        <v>699388000</v>
      </c>
      <c r="F393" s="61">
        <v>0</v>
      </c>
      <c r="G393" s="292"/>
      <c r="H393" s="88"/>
      <c r="I393" s="88"/>
      <c r="J393" s="293"/>
      <c r="K393" s="88"/>
      <c r="L393" s="88"/>
      <c r="M393" s="88"/>
      <c r="N393" s="294"/>
      <c r="O393" s="88"/>
      <c r="P393" s="88"/>
      <c r="Q393" s="88"/>
      <c r="R393" s="88"/>
      <c r="S393" s="88"/>
      <c r="T393" s="88"/>
      <c r="U393" s="88"/>
      <c r="V393" s="88"/>
      <c r="W393" s="88"/>
      <c r="X393" s="88"/>
      <c r="Y393" s="88"/>
      <c r="Z393" s="88"/>
      <c r="AA393" s="88"/>
      <c r="AB393" s="88"/>
      <c r="AC393" s="88"/>
      <c r="AD393" s="88"/>
      <c r="AE393" s="88"/>
      <c r="AF393" s="88"/>
      <c r="AG393" s="88"/>
      <c r="AH393" s="88"/>
    </row>
    <row r="394" spans="1:34" ht="69.75" customHeight="1" x14ac:dyDescent="0.25">
      <c r="A394" s="948"/>
      <c r="B394" s="694"/>
      <c r="C394" s="694"/>
      <c r="D394" s="295" t="s">
        <v>1149</v>
      </c>
      <c r="E394" s="291">
        <v>349839000</v>
      </c>
      <c r="F394" s="61">
        <v>0</v>
      </c>
      <c r="G394" s="292"/>
      <c r="H394" s="88"/>
      <c r="I394" s="88"/>
      <c r="J394" s="293"/>
      <c r="K394" s="88"/>
      <c r="L394" s="88"/>
      <c r="M394" s="88"/>
      <c r="N394" s="294"/>
      <c r="O394" s="88"/>
      <c r="P394" s="88"/>
      <c r="Q394" s="88"/>
      <c r="R394" s="88"/>
      <c r="S394" s="88"/>
      <c r="T394" s="88"/>
      <c r="U394" s="88"/>
      <c r="V394" s="88"/>
      <c r="W394" s="88"/>
      <c r="X394" s="88"/>
      <c r="Y394" s="88"/>
      <c r="Z394" s="88"/>
      <c r="AA394" s="88"/>
      <c r="AB394" s="88"/>
      <c r="AC394" s="88"/>
      <c r="AD394" s="88"/>
      <c r="AE394" s="88"/>
      <c r="AF394" s="88"/>
      <c r="AG394" s="88"/>
      <c r="AH394" s="88"/>
    </row>
    <row r="395" spans="1:34" ht="69.75" customHeight="1" x14ac:dyDescent="0.25">
      <c r="A395" s="948"/>
      <c r="B395" s="733"/>
      <c r="C395" s="733"/>
      <c r="D395" s="295" t="s">
        <v>891</v>
      </c>
      <c r="E395" s="296">
        <v>482999000</v>
      </c>
      <c r="F395" s="297">
        <v>0</v>
      </c>
      <c r="G395" s="298"/>
      <c r="H395" s="88"/>
      <c r="I395" s="88"/>
      <c r="J395" s="293"/>
      <c r="K395" s="88"/>
      <c r="L395" s="88"/>
      <c r="M395" s="88"/>
      <c r="N395" s="294"/>
      <c r="O395" s="88"/>
      <c r="P395" s="88"/>
      <c r="Q395" s="88"/>
      <c r="R395" s="88"/>
      <c r="S395" s="88"/>
      <c r="T395" s="88"/>
      <c r="U395" s="88"/>
      <c r="V395" s="88"/>
      <c r="W395" s="88"/>
      <c r="X395" s="88"/>
      <c r="Y395" s="88"/>
      <c r="Z395" s="88"/>
      <c r="AA395" s="88"/>
      <c r="AB395" s="88"/>
      <c r="AC395" s="88"/>
      <c r="AD395" s="88"/>
      <c r="AE395" s="88"/>
      <c r="AF395" s="88"/>
      <c r="AG395" s="88"/>
      <c r="AH395" s="88"/>
    </row>
    <row r="396" spans="1:34" ht="69.75" customHeight="1" x14ac:dyDescent="0.25">
      <c r="A396" s="948"/>
      <c r="B396" s="30" t="s">
        <v>971</v>
      </c>
      <c r="C396" s="30" t="s">
        <v>972</v>
      </c>
      <c r="D396" s="295" t="s">
        <v>1150</v>
      </c>
      <c r="E396" s="291">
        <v>250350000</v>
      </c>
      <c r="F396" s="61">
        <v>0</v>
      </c>
      <c r="G396" s="292"/>
      <c r="H396" s="88"/>
      <c r="I396" s="88"/>
      <c r="J396" s="293"/>
      <c r="K396" s="88"/>
      <c r="L396" s="88"/>
      <c r="M396" s="88"/>
      <c r="N396" s="294"/>
      <c r="O396" s="88"/>
      <c r="P396" s="88"/>
      <c r="Q396" s="88"/>
      <c r="R396" s="88"/>
      <c r="S396" s="88"/>
      <c r="T396" s="88"/>
      <c r="U396" s="88"/>
      <c r="V396" s="88"/>
      <c r="W396" s="88"/>
      <c r="X396" s="88"/>
      <c r="Y396" s="88"/>
      <c r="Z396" s="88"/>
      <c r="AA396" s="88"/>
      <c r="AB396" s="88"/>
      <c r="AC396" s="88"/>
      <c r="AD396" s="88"/>
      <c r="AE396" s="88"/>
      <c r="AF396" s="88"/>
      <c r="AG396" s="88"/>
      <c r="AH396" s="88"/>
    </row>
    <row r="397" spans="1:34" ht="69.75" customHeight="1" x14ac:dyDescent="0.25">
      <c r="A397" s="953"/>
      <c r="B397" s="30" t="s">
        <v>975</v>
      </c>
      <c r="C397" s="30" t="s">
        <v>976</v>
      </c>
      <c r="D397" s="295" t="s">
        <v>381</v>
      </c>
      <c r="E397" s="291">
        <v>801561000</v>
      </c>
      <c r="F397" s="291">
        <v>5482052</v>
      </c>
      <c r="G397" s="292"/>
      <c r="H397" s="88"/>
      <c r="I397" s="88"/>
      <c r="J397" s="293"/>
      <c r="K397" s="88"/>
      <c r="L397" s="88"/>
      <c r="M397" s="88"/>
      <c r="N397" s="294"/>
      <c r="O397" s="88"/>
      <c r="P397" s="88"/>
      <c r="Q397" s="88"/>
      <c r="R397" s="88"/>
      <c r="S397" s="88"/>
      <c r="T397" s="88"/>
      <c r="U397" s="88"/>
      <c r="V397" s="88"/>
      <c r="W397" s="88"/>
      <c r="X397" s="88"/>
      <c r="Y397" s="88"/>
      <c r="Z397" s="88"/>
      <c r="AA397" s="88"/>
      <c r="AB397" s="88"/>
      <c r="AC397" s="88"/>
      <c r="AD397" s="88"/>
      <c r="AE397" s="88"/>
      <c r="AF397" s="88"/>
      <c r="AG397" s="88"/>
      <c r="AH397" s="88"/>
    </row>
    <row r="398" spans="1:34" ht="69.75" customHeight="1" x14ac:dyDescent="0.25">
      <c r="A398" s="952" t="s">
        <v>941</v>
      </c>
      <c r="B398" s="957" t="s">
        <v>963</v>
      </c>
      <c r="C398" s="957" t="s">
        <v>964</v>
      </c>
      <c r="D398" s="290" t="s">
        <v>344</v>
      </c>
      <c r="E398" s="291">
        <v>574654000</v>
      </c>
      <c r="F398" s="291">
        <v>12993393</v>
      </c>
      <c r="G398" s="292"/>
      <c r="H398" s="88"/>
      <c r="I398" s="88"/>
      <c r="J398" s="293"/>
      <c r="K398" s="88"/>
      <c r="L398" s="88"/>
      <c r="M398" s="88"/>
      <c r="N398" s="294"/>
      <c r="O398" s="88"/>
      <c r="P398" s="88"/>
      <c r="Q398" s="88"/>
      <c r="R398" s="88"/>
      <c r="S398" s="88"/>
      <c r="T398" s="88"/>
      <c r="U398" s="88"/>
      <c r="V398" s="88"/>
      <c r="W398" s="88"/>
      <c r="X398" s="88"/>
      <c r="Y398" s="88"/>
      <c r="Z398" s="88"/>
      <c r="AA398" s="88"/>
      <c r="AB398" s="88"/>
      <c r="AC398" s="88"/>
      <c r="AD398" s="88"/>
      <c r="AE398" s="88"/>
      <c r="AF398" s="88"/>
      <c r="AG398" s="88"/>
      <c r="AH398" s="88"/>
    </row>
    <row r="399" spans="1:34" ht="69.75" customHeight="1" x14ac:dyDescent="0.25">
      <c r="A399" s="948"/>
      <c r="B399" s="694"/>
      <c r="C399" s="694"/>
      <c r="D399" s="290" t="s">
        <v>355</v>
      </c>
      <c r="E399" s="291">
        <v>198130000</v>
      </c>
      <c r="F399" s="291">
        <v>7349100</v>
      </c>
      <c r="G399" s="292"/>
      <c r="H399" s="88"/>
      <c r="I399" s="88"/>
      <c r="J399" s="293"/>
      <c r="K399" s="88"/>
      <c r="L399" s="88"/>
      <c r="M399" s="88"/>
      <c r="N399" s="294"/>
      <c r="O399" s="88"/>
      <c r="P399" s="88"/>
      <c r="Q399" s="88"/>
      <c r="R399" s="88"/>
      <c r="S399" s="88"/>
      <c r="T399" s="88"/>
      <c r="U399" s="88"/>
      <c r="V399" s="88"/>
      <c r="W399" s="88"/>
      <c r="X399" s="88"/>
      <c r="Y399" s="88"/>
      <c r="Z399" s="88"/>
      <c r="AA399" s="88"/>
      <c r="AB399" s="88"/>
      <c r="AC399" s="88"/>
      <c r="AD399" s="88"/>
      <c r="AE399" s="88"/>
      <c r="AF399" s="88"/>
      <c r="AG399" s="88"/>
      <c r="AH399" s="88"/>
    </row>
    <row r="400" spans="1:34" ht="69.75" customHeight="1" x14ac:dyDescent="0.25">
      <c r="A400" s="948"/>
      <c r="B400" s="733"/>
      <c r="C400" s="733"/>
      <c r="D400" s="290" t="s">
        <v>358</v>
      </c>
      <c r="E400" s="291">
        <v>34285000</v>
      </c>
      <c r="F400" s="291">
        <v>2085333</v>
      </c>
      <c r="G400" s="292"/>
      <c r="H400" s="88"/>
      <c r="I400" s="88"/>
      <c r="J400" s="293"/>
      <c r="K400" s="88"/>
      <c r="L400" s="88"/>
      <c r="M400" s="88"/>
      <c r="N400" s="294"/>
      <c r="O400" s="88"/>
      <c r="P400" s="88"/>
      <c r="Q400" s="88"/>
      <c r="R400" s="88"/>
      <c r="S400" s="88"/>
      <c r="T400" s="88"/>
      <c r="U400" s="88"/>
      <c r="V400" s="88"/>
      <c r="W400" s="88"/>
      <c r="X400" s="88"/>
      <c r="Y400" s="88"/>
      <c r="Z400" s="88"/>
      <c r="AA400" s="88"/>
      <c r="AB400" s="88"/>
      <c r="AC400" s="88"/>
      <c r="AD400" s="88"/>
      <c r="AE400" s="88"/>
      <c r="AF400" s="88"/>
      <c r="AG400" s="88"/>
      <c r="AH400" s="88"/>
    </row>
    <row r="401" spans="1:34" ht="69.75" customHeight="1" x14ac:dyDescent="0.25">
      <c r="A401" s="948"/>
      <c r="B401" s="965" t="s">
        <v>967</v>
      </c>
      <c r="C401" s="965" t="s">
        <v>968</v>
      </c>
      <c r="D401" s="295" t="s">
        <v>362</v>
      </c>
      <c r="E401" s="291">
        <v>68299000</v>
      </c>
      <c r="F401" s="291">
        <v>0</v>
      </c>
      <c r="G401" s="292"/>
      <c r="H401" s="88"/>
      <c r="I401" s="88"/>
      <c r="J401" s="293"/>
      <c r="K401" s="88"/>
      <c r="L401" s="88"/>
      <c r="M401" s="88"/>
      <c r="N401" s="294"/>
      <c r="O401" s="88"/>
      <c r="P401" s="88"/>
      <c r="Q401" s="88"/>
      <c r="R401" s="88"/>
      <c r="S401" s="88"/>
      <c r="T401" s="88"/>
      <c r="U401" s="88"/>
      <c r="V401" s="88"/>
      <c r="W401" s="88"/>
      <c r="X401" s="88"/>
      <c r="Y401" s="88"/>
      <c r="Z401" s="88"/>
      <c r="AA401" s="88"/>
      <c r="AB401" s="88"/>
      <c r="AC401" s="88"/>
      <c r="AD401" s="88"/>
      <c r="AE401" s="88"/>
      <c r="AF401" s="88"/>
      <c r="AG401" s="88"/>
      <c r="AH401" s="88"/>
    </row>
    <row r="402" spans="1:34" ht="69.75" customHeight="1" x14ac:dyDescent="0.25">
      <c r="A402" s="948"/>
      <c r="B402" s="694"/>
      <c r="C402" s="694"/>
      <c r="D402" s="295" t="s">
        <v>1148</v>
      </c>
      <c r="E402" s="291">
        <v>699388000</v>
      </c>
      <c r="F402" s="291">
        <v>0</v>
      </c>
      <c r="G402" s="292"/>
      <c r="H402" s="88"/>
      <c r="I402" s="88"/>
      <c r="J402" s="293"/>
      <c r="K402" s="88"/>
      <c r="L402" s="88"/>
      <c r="M402" s="88"/>
      <c r="N402" s="294"/>
      <c r="O402" s="88"/>
      <c r="P402" s="88"/>
      <c r="Q402" s="88"/>
      <c r="R402" s="88"/>
      <c r="S402" s="88"/>
      <c r="T402" s="88"/>
      <c r="U402" s="88"/>
      <c r="V402" s="88"/>
      <c r="W402" s="88"/>
      <c r="X402" s="88"/>
      <c r="Y402" s="88"/>
      <c r="Z402" s="88"/>
      <c r="AA402" s="88"/>
      <c r="AB402" s="88"/>
      <c r="AC402" s="88"/>
      <c r="AD402" s="88"/>
      <c r="AE402" s="88"/>
      <c r="AF402" s="88"/>
      <c r="AG402" s="88"/>
      <c r="AH402" s="88"/>
    </row>
    <row r="403" spans="1:34" ht="69.75" customHeight="1" x14ac:dyDescent="0.25">
      <c r="A403" s="948"/>
      <c r="B403" s="694"/>
      <c r="C403" s="694"/>
      <c r="D403" s="295" t="s">
        <v>1149</v>
      </c>
      <c r="E403" s="291">
        <v>349839000</v>
      </c>
      <c r="F403" s="291">
        <v>14248600</v>
      </c>
      <c r="G403" s="292"/>
      <c r="H403" s="88"/>
      <c r="I403" s="88"/>
      <c r="J403" s="293"/>
      <c r="K403" s="88"/>
      <c r="L403" s="88"/>
      <c r="M403" s="88"/>
      <c r="N403" s="294"/>
      <c r="O403" s="88"/>
      <c r="P403" s="88"/>
      <c r="Q403" s="88"/>
      <c r="R403" s="88"/>
      <c r="S403" s="88"/>
      <c r="T403" s="88"/>
      <c r="U403" s="88"/>
      <c r="V403" s="88"/>
      <c r="W403" s="88"/>
      <c r="X403" s="88"/>
      <c r="Y403" s="88"/>
      <c r="Z403" s="88"/>
      <c r="AA403" s="88"/>
      <c r="AB403" s="88"/>
      <c r="AC403" s="88"/>
      <c r="AD403" s="88"/>
      <c r="AE403" s="88"/>
      <c r="AF403" s="88"/>
      <c r="AG403" s="88"/>
      <c r="AH403" s="88"/>
    </row>
    <row r="404" spans="1:34" ht="69.75" customHeight="1" x14ac:dyDescent="0.25">
      <c r="A404" s="948"/>
      <c r="B404" s="733"/>
      <c r="C404" s="733"/>
      <c r="D404" s="295" t="s">
        <v>891</v>
      </c>
      <c r="E404" s="296">
        <v>482999000</v>
      </c>
      <c r="F404" s="296">
        <v>13621034</v>
      </c>
      <c r="G404" s="292"/>
      <c r="H404" s="88"/>
      <c r="I404" s="88"/>
      <c r="J404" s="293"/>
      <c r="K404" s="88"/>
      <c r="L404" s="88"/>
      <c r="M404" s="88"/>
      <c r="N404" s="294"/>
      <c r="O404" s="88"/>
      <c r="P404" s="88"/>
      <c r="Q404" s="88"/>
      <c r="R404" s="88"/>
      <c r="S404" s="88"/>
      <c r="T404" s="88"/>
      <c r="U404" s="88"/>
      <c r="V404" s="88"/>
      <c r="W404" s="88"/>
      <c r="X404" s="88"/>
      <c r="Y404" s="88"/>
      <c r="Z404" s="88"/>
      <c r="AA404" s="88"/>
      <c r="AB404" s="88"/>
      <c r="AC404" s="88"/>
      <c r="AD404" s="88"/>
      <c r="AE404" s="88"/>
      <c r="AF404" s="88"/>
      <c r="AG404" s="88"/>
      <c r="AH404" s="88"/>
    </row>
    <row r="405" spans="1:34" ht="69.75" customHeight="1" x14ac:dyDescent="0.25">
      <c r="A405" s="948"/>
      <c r="B405" s="30" t="s">
        <v>971</v>
      </c>
      <c r="C405" s="30" t="s">
        <v>972</v>
      </c>
      <c r="D405" s="295" t="s">
        <v>1150</v>
      </c>
      <c r="E405" s="291">
        <v>250350000</v>
      </c>
      <c r="F405" s="291">
        <v>5581534</v>
      </c>
      <c r="G405" s="292"/>
      <c r="H405" s="88"/>
      <c r="I405" s="88"/>
      <c r="J405" s="293"/>
      <c r="K405" s="88"/>
      <c r="L405" s="88"/>
      <c r="M405" s="88"/>
      <c r="N405" s="294"/>
      <c r="O405" s="88"/>
      <c r="P405" s="88"/>
      <c r="Q405" s="88"/>
      <c r="R405" s="88"/>
      <c r="S405" s="88"/>
      <c r="T405" s="88"/>
      <c r="U405" s="88"/>
      <c r="V405" s="88"/>
      <c r="W405" s="88"/>
      <c r="X405" s="88"/>
      <c r="Y405" s="88"/>
      <c r="Z405" s="88"/>
      <c r="AA405" s="88"/>
      <c r="AB405" s="88"/>
      <c r="AC405" s="88"/>
      <c r="AD405" s="88"/>
      <c r="AE405" s="88"/>
      <c r="AF405" s="88"/>
      <c r="AG405" s="88"/>
      <c r="AH405" s="88"/>
    </row>
    <row r="406" spans="1:34" ht="69.75" customHeight="1" x14ac:dyDescent="0.25">
      <c r="A406" s="953"/>
      <c r="B406" s="30" t="s">
        <v>975</v>
      </c>
      <c r="C406" s="30" t="s">
        <v>976</v>
      </c>
      <c r="D406" s="295" t="s">
        <v>381</v>
      </c>
      <c r="E406" s="291">
        <v>801561000</v>
      </c>
      <c r="F406" s="291">
        <v>19474701</v>
      </c>
      <c r="G406" s="292"/>
      <c r="H406" s="88"/>
      <c r="I406" s="88"/>
      <c r="J406" s="293"/>
      <c r="K406" s="88"/>
      <c r="L406" s="88"/>
      <c r="M406" s="88"/>
      <c r="N406" s="294"/>
      <c r="O406" s="88"/>
      <c r="P406" s="88"/>
      <c r="Q406" s="88"/>
      <c r="R406" s="88"/>
      <c r="S406" s="88"/>
      <c r="T406" s="88"/>
      <c r="U406" s="88"/>
      <c r="V406" s="88"/>
      <c r="W406" s="88"/>
      <c r="X406" s="88"/>
      <c r="Y406" s="88"/>
      <c r="Z406" s="88"/>
      <c r="AA406" s="88"/>
      <c r="AB406" s="88"/>
      <c r="AC406" s="88"/>
      <c r="AD406" s="88"/>
      <c r="AE406" s="88"/>
      <c r="AF406" s="88"/>
      <c r="AG406" s="88"/>
      <c r="AH406" s="88"/>
    </row>
    <row r="407" spans="1:34" ht="69.75" customHeight="1" x14ac:dyDescent="0.25">
      <c r="A407" s="952" t="s">
        <v>942</v>
      </c>
      <c r="B407" s="957" t="s">
        <v>963</v>
      </c>
      <c r="C407" s="957" t="s">
        <v>964</v>
      </c>
      <c r="D407" s="290" t="s">
        <v>344</v>
      </c>
      <c r="E407" s="291">
        <v>556207000</v>
      </c>
      <c r="F407" s="291">
        <v>53643627</v>
      </c>
      <c r="G407" s="292"/>
      <c r="H407" s="88"/>
      <c r="I407" s="88"/>
      <c r="J407" s="293"/>
      <c r="K407" s="88"/>
      <c r="L407" s="88"/>
      <c r="M407" s="88"/>
      <c r="N407" s="294"/>
      <c r="O407" s="88"/>
      <c r="P407" s="88"/>
      <c r="Q407" s="88"/>
      <c r="R407" s="88"/>
      <c r="S407" s="88"/>
      <c r="T407" s="88"/>
      <c r="U407" s="88"/>
      <c r="V407" s="88"/>
      <c r="W407" s="88"/>
      <c r="X407" s="88"/>
      <c r="Y407" s="88"/>
      <c r="Z407" s="88"/>
      <c r="AA407" s="88"/>
      <c r="AB407" s="88"/>
      <c r="AC407" s="88"/>
      <c r="AD407" s="88"/>
      <c r="AE407" s="88"/>
      <c r="AF407" s="88"/>
      <c r="AG407" s="88"/>
      <c r="AH407" s="88"/>
    </row>
    <row r="408" spans="1:34" ht="69.75" customHeight="1" x14ac:dyDescent="0.25">
      <c r="A408" s="948"/>
      <c r="B408" s="694"/>
      <c r="C408" s="694"/>
      <c r="D408" s="290" t="s">
        <v>355</v>
      </c>
      <c r="E408" s="291">
        <v>172920000</v>
      </c>
      <c r="F408" s="291">
        <v>22047300</v>
      </c>
      <c r="G408" s="292"/>
      <c r="H408" s="88"/>
      <c r="I408" s="88"/>
      <c r="J408" s="293"/>
      <c r="K408" s="88"/>
      <c r="L408" s="88"/>
      <c r="M408" s="88"/>
      <c r="N408" s="294"/>
      <c r="O408" s="88"/>
      <c r="P408" s="88"/>
      <c r="Q408" s="88"/>
      <c r="R408" s="88"/>
      <c r="S408" s="88"/>
      <c r="T408" s="88"/>
      <c r="U408" s="88"/>
      <c r="V408" s="88"/>
      <c r="W408" s="88"/>
      <c r="X408" s="88"/>
      <c r="Y408" s="88"/>
      <c r="Z408" s="88"/>
      <c r="AA408" s="88"/>
      <c r="AB408" s="88"/>
      <c r="AC408" s="88"/>
      <c r="AD408" s="88"/>
      <c r="AE408" s="88"/>
      <c r="AF408" s="88"/>
      <c r="AG408" s="88"/>
      <c r="AH408" s="88"/>
    </row>
    <row r="409" spans="1:34" ht="69.75" customHeight="1" x14ac:dyDescent="0.25">
      <c r="A409" s="948"/>
      <c r="B409" s="733"/>
      <c r="C409" s="733"/>
      <c r="D409" s="290" t="s">
        <v>358</v>
      </c>
      <c r="E409" s="291">
        <v>27200000</v>
      </c>
      <c r="F409" s="291">
        <v>4805333</v>
      </c>
      <c r="G409" s="292"/>
      <c r="H409" s="88"/>
      <c r="I409" s="88"/>
      <c r="J409" s="293"/>
      <c r="K409" s="88"/>
      <c r="L409" s="88"/>
      <c r="M409" s="88"/>
      <c r="N409" s="294"/>
      <c r="O409" s="88"/>
      <c r="P409" s="88"/>
      <c r="Q409" s="88"/>
      <c r="R409" s="88"/>
      <c r="S409" s="88"/>
      <c r="T409" s="88"/>
      <c r="U409" s="88"/>
      <c r="V409" s="88"/>
      <c r="W409" s="88"/>
      <c r="X409" s="88"/>
      <c r="Y409" s="88"/>
      <c r="Z409" s="88"/>
      <c r="AA409" s="88"/>
      <c r="AB409" s="88"/>
      <c r="AC409" s="88"/>
      <c r="AD409" s="88"/>
      <c r="AE409" s="88"/>
      <c r="AF409" s="88"/>
      <c r="AG409" s="88"/>
      <c r="AH409" s="88"/>
    </row>
    <row r="410" spans="1:34" ht="69.75" customHeight="1" x14ac:dyDescent="0.25">
      <c r="A410" s="948"/>
      <c r="B410" s="965" t="s">
        <v>967</v>
      </c>
      <c r="C410" s="965" t="s">
        <v>968</v>
      </c>
      <c r="D410" s="295" t="s">
        <v>362</v>
      </c>
      <c r="E410" s="291">
        <v>67897116</v>
      </c>
      <c r="F410" s="291">
        <v>4041500</v>
      </c>
      <c r="G410" s="292"/>
      <c r="H410" s="88"/>
      <c r="I410" s="88"/>
      <c r="J410" s="293"/>
      <c r="K410" s="88"/>
      <c r="L410" s="88"/>
      <c r="M410" s="88"/>
      <c r="N410" s="294"/>
      <c r="O410" s="88"/>
      <c r="P410" s="88"/>
      <c r="Q410" s="88"/>
      <c r="R410" s="88"/>
      <c r="S410" s="88"/>
      <c r="T410" s="88"/>
      <c r="U410" s="88"/>
      <c r="V410" s="88"/>
      <c r="W410" s="88"/>
      <c r="X410" s="88"/>
      <c r="Y410" s="88"/>
      <c r="Z410" s="88"/>
      <c r="AA410" s="88"/>
      <c r="AB410" s="88"/>
      <c r="AC410" s="88"/>
      <c r="AD410" s="88"/>
      <c r="AE410" s="88"/>
      <c r="AF410" s="88"/>
      <c r="AG410" s="88"/>
      <c r="AH410" s="88"/>
    </row>
    <row r="411" spans="1:34" ht="69.75" customHeight="1" x14ac:dyDescent="0.25">
      <c r="A411" s="948"/>
      <c r="B411" s="694"/>
      <c r="C411" s="694"/>
      <c r="D411" s="295" t="s">
        <v>1148</v>
      </c>
      <c r="E411" s="291">
        <v>375068706</v>
      </c>
      <c r="F411" s="291">
        <v>25354666</v>
      </c>
      <c r="G411" s="292"/>
      <c r="H411" s="88"/>
      <c r="I411" s="88"/>
      <c r="J411" s="293"/>
      <c r="K411" s="88"/>
      <c r="L411" s="88"/>
      <c r="M411" s="88"/>
      <c r="N411" s="294"/>
      <c r="O411" s="88"/>
      <c r="P411" s="88"/>
      <c r="Q411" s="88"/>
      <c r="R411" s="88"/>
      <c r="S411" s="88"/>
      <c r="T411" s="88"/>
      <c r="U411" s="88"/>
      <c r="V411" s="88"/>
      <c r="W411" s="88"/>
      <c r="X411" s="88"/>
      <c r="Y411" s="88"/>
      <c r="Z411" s="88"/>
      <c r="AA411" s="88"/>
      <c r="AB411" s="88"/>
      <c r="AC411" s="88"/>
      <c r="AD411" s="88"/>
      <c r="AE411" s="88"/>
      <c r="AF411" s="88"/>
      <c r="AG411" s="88"/>
      <c r="AH411" s="88"/>
    </row>
    <row r="412" spans="1:34" ht="69.75" customHeight="1" x14ac:dyDescent="0.25">
      <c r="A412" s="948"/>
      <c r="B412" s="694"/>
      <c r="C412" s="694"/>
      <c r="D412" s="295" t="s">
        <v>1149</v>
      </c>
      <c r="E412" s="291">
        <v>313790000</v>
      </c>
      <c r="F412" s="291">
        <v>45283800</v>
      </c>
      <c r="G412" s="292"/>
      <c r="H412" s="88"/>
      <c r="I412" s="88"/>
      <c r="J412" s="293"/>
      <c r="K412" s="88"/>
      <c r="L412" s="88"/>
      <c r="M412" s="88"/>
      <c r="N412" s="294"/>
      <c r="O412" s="88"/>
      <c r="P412" s="88"/>
      <c r="Q412" s="88"/>
      <c r="R412" s="88"/>
      <c r="S412" s="88"/>
      <c r="T412" s="88"/>
      <c r="U412" s="88"/>
      <c r="V412" s="88"/>
      <c r="W412" s="88"/>
      <c r="X412" s="88"/>
      <c r="Y412" s="88"/>
      <c r="Z412" s="88"/>
      <c r="AA412" s="88"/>
      <c r="AB412" s="88"/>
      <c r="AC412" s="88"/>
      <c r="AD412" s="88"/>
      <c r="AE412" s="88"/>
      <c r="AF412" s="88"/>
      <c r="AG412" s="88"/>
      <c r="AH412" s="88"/>
    </row>
    <row r="413" spans="1:34" ht="69.75" customHeight="1" x14ac:dyDescent="0.25">
      <c r="A413" s="948"/>
      <c r="B413" s="733"/>
      <c r="C413" s="733"/>
      <c r="D413" s="295" t="s">
        <v>891</v>
      </c>
      <c r="E413" s="296">
        <v>443325000</v>
      </c>
      <c r="F413" s="296">
        <v>50942234</v>
      </c>
      <c r="G413" s="292"/>
      <c r="H413" s="88"/>
      <c r="I413" s="88"/>
      <c r="J413" s="293"/>
      <c r="K413" s="88"/>
      <c r="L413" s="88"/>
      <c r="M413" s="88"/>
      <c r="N413" s="294"/>
      <c r="O413" s="88"/>
      <c r="P413" s="88"/>
      <c r="Q413" s="88"/>
      <c r="R413" s="88"/>
      <c r="S413" s="88"/>
      <c r="T413" s="88"/>
      <c r="U413" s="88"/>
      <c r="V413" s="88"/>
      <c r="W413" s="88"/>
      <c r="X413" s="88"/>
      <c r="Y413" s="88"/>
      <c r="Z413" s="88"/>
      <c r="AA413" s="88"/>
      <c r="AB413" s="88"/>
      <c r="AC413" s="88"/>
      <c r="AD413" s="88"/>
      <c r="AE413" s="88"/>
      <c r="AF413" s="88"/>
      <c r="AG413" s="88"/>
      <c r="AH413" s="88"/>
    </row>
    <row r="414" spans="1:34" ht="69.75" customHeight="1" x14ac:dyDescent="0.25">
      <c r="A414" s="948"/>
      <c r="B414" s="30" t="s">
        <v>971</v>
      </c>
      <c r="C414" s="30" t="s">
        <v>972</v>
      </c>
      <c r="D414" s="295" t="s">
        <v>1150</v>
      </c>
      <c r="E414" s="291">
        <v>222016000</v>
      </c>
      <c r="F414" s="291">
        <v>22792600</v>
      </c>
      <c r="G414" s="292"/>
      <c r="H414" s="88"/>
      <c r="I414" s="88"/>
      <c r="J414" s="293"/>
      <c r="K414" s="88"/>
      <c r="L414" s="88"/>
      <c r="M414" s="88"/>
      <c r="N414" s="294"/>
      <c r="O414" s="88"/>
      <c r="P414" s="88"/>
      <c r="Q414" s="88"/>
      <c r="R414" s="88"/>
      <c r="S414" s="88"/>
      <c r="T414" s="88"/>
      <c r="U414" s="88"/>
      <c r="V414" s="88"/>
      <c r="W414" s="88"/>
      <c r="X414" s="88"/>
      <c r="Y414" s="88"/>
      <c r="Z414" s="88"/>
      <c r="AA414" s="88"/>
      <c r="AB414" s="88"/>
      <c r="AC414" s="88"/>
      <c r="AD414" s="88"/>
      <c r="AE414" s="88"/>
      <c r="AF414" s="88"/>
      <c r="AG414" s="88"/>
      <c r="AH414" s="88"/>
    </row>
    <row r="415" spans="1:34" ht="69.75" customHeight="1" x14ac:dyDescent="0.25">
      <c r="A415" s="953"/>
      <c r="B415" s="30" t="s">
        <v>975</v>
      </c>
      <c r="C415" s="30" t="s">
        <v>976</v>
      </c>
      <c r="D415" s="295" t="s">
        <v>381</v>
      </c>
      <c r="E415" s="291">
        <v>754641627</v>
      </c>
      <c r="F415" s="291">
        <v>37130834</v>
      </c>
      <c r="G415" s="292"/>
      <c r="H415" s="88"/>
      <c r="I415" s="88"/>
      <c r="J415" s="293"/>
      <c r="K415" s="88"/>
      <c r="L415" s="88"/>
      <c r="M415" s="88"/>
      <c r="N415" s="294"/>
      <c r="O415" s="88"/>
      <c r="P415" s="88"/>
      <c r="Q415" s="88"/>
      <c r="R415" s="88"/>
      <c r="S415" s="88"/>
      <c r="T415" s="88"/>
      <c r="U415" s="88"/>
      <c r="V415" s="88"/>
      <c r="W415" s="88"/>
      <c r="X415" s="88"/>
      <c r="Y415" s="88"/>
      <c r="Z415" s="88"/>
      <c r="AA415" s="88"/>
      <c r="AB415" s="88"/>
      <c r="AC415" s="88"/>
      <c r="AD415" s="88"/>
      <c r="AE415" s="88"/>
      <c r="AF415" s="88"/>
      <c r="AG415" s="88"/>
      <c r="AH415" s="88"/>
    </row>
    <row r="416" spans="1:34" ht="69.75" customHeight="1" x14ac:dyDescent="0.25">
      <c r="A416" s="952" t="s">
        <v>944</v>
      </c>
      <c r="B416" s="957" t="s">
        <v>963</v>
      </c>
      <c r="C416" s="957" t="s">
        <v>964</v>
      </c>
      <c r="D416" s="290" t="s">
        <v>344</v>
      </c>
      <c r="E416" s="291">
        <v>556207000</v>
      </c>
      <c r="F416" s="291">
        <v>173791767</v>
      </c>
      <c r="G416" s="292"/>
      <c r="H416" s="88"/>
      <c r="I416" s="88"/>
      <c r="J416" s="293"/>
      <c r="K416" s="88"/>
      <c r="L416" s="88"/>
      <c r="M416" s="88"/>
      <c r="N416" s="294"/>
      <c r="O416" s="88"/>
      <c r="P416" s="88"/>
      <c r="Q416" s="88"/>
      <c r="R416" s="88"/>
      <c r="S416" s="88"/>
      <c r="T416" s="88"/>
      <c r="U416" s="88"/>
      <c r="V416" s="88"/>
      <c r="W416" s="88"/>
      <c r="X416" s="88"/>
      <c r="Y416" s="88"/>
      <c r="Z416" s="88"/>
      <c r="AA416" s="88"/>
      <c r="AB416" s="88"/>
      <c r="AC416" s="88"/>
      <c r="AD416" s="88"/>
      <c r="AE416" s="88"/>
      <c r="AF416" s="88"/>
      <c r="AG416" s="88"/>
      <c r="AH416" s="88"/>
    </row>
    <row r="417" spans="1:34" ht="69.75" customHeight="1" x14ac:dyDescent="0.25">
      <c r="A417" s="948"/>
      <c r="B417" s="694"/>
      <c r="C417" s="694"/>
      <c r="D417" s="290" t="s">
        <v>355</v>
      </c>
      <c r="E417" s="291">
        <v>172920000</v>
      </c>
      <c r="F417" s="291">
        <v>56631300</v>
      </c>
      <c r="G417" s="292"/>
      <c r="H417" s="88"/>
      <c r="I417" s="88"/>
      <c r="J417" s="293"/>
      <c r="K417" s="88"/>
      <c r="L417" s="88"/>
      <c r="M417" s="88"/>
      <c r="N417" s="294"/>
      <c r="O417" s="88"/>
      <c r="P417" s="88"/>
      <c r="Q417" s="88"/>
      <c r="R417" s="88"/>
      <c r="S417" s="88"/>
      <c r="T417" s="88"/>
      <c r="U417" s="88"/>
      <c r="V417" s="88"/>
      <c r="W417" s="88"/>
      <c r="X417" s="88"/>
      <c r="Y417" s="88"/>
      <c r="Z417" s="88"/>
      <c r="AA417" s="88"/>
      <c r="AB417" s="88"/>
      <c r="AC417" s="88"/>
      <c r="AD417" s="88"/>
      <c r="AE417" s="88"/>
      <c r="AF417" s="88"/>
      <c r="AG417" s="88"/>
      <c r="AH417" s="88"/>
    </row>
    <row r="418" spans="1:34" ht="69.75" customHeight="1" x14ac:dyDescent="0.25">
      <c r="A418" s="948"/>
      <c r="B418" s="733"/>
      <c r="C418" s="733"/>
      <c r="D418" s="290" t="s">
        <v>358</v>
      </c>
      <c r="E418" s="291">
        <v>27200000</v>
      </c>
      <c r="F418" s="291">
        <v>10245333</v>
      </c>
      <c r="G418" s="292"/>
      <c r="H418" s="88"/>
      <c r="I418" s="88"/>
      <c r="J418" s="293"/>
      <c r="K418" s="88"/>
      <c r="L418" s="88"/>
      <c r="M418" s="88"/>
      <c r="N418" s="294"/>
      <c r="O418" s="88"/>
      <c r="P418" s="88"/>
      <c r="Q418" s="88"/>
      <c r="R418" s="88"/>
      <c r="S418" s="88"/>
      <c r="T418" s="88"/>
      <c r="U418" s="88"/>
      <c r="V418" s="88"/>
      <c r="W418" s="88"/>
      <c r="X418" s="88"/>
      <c r="Y418" s="88"/>
      <c r="Z418" s="88"/>
      <c r="AA418" s="88"/>
      <c r="AB418" s="88"/>
      <c r="AC418" s="88"/>
      <c r="AD418" s="88"/>
      <c r="AE418" s="88"/>
      <c r="AF418" s="88"/>
      <c r="AG418" s="88"/>
      <c r="AH418" s="88"/>
    </row>
    <row r="419" spans="1:34" ht="69.75" customHeight="1" x14ac:dyDescent="0.25">
      <c r="A419" s="948"/>
      <c r="B419" s="965" t="s">
        <v>967</v>
      </c>
      <c r="C419" s="965" t="s">
        <v>968</v>
      </c>
      <c r="D419" s="295" t="s">
        <v>362</v>
      </c>
      <c r="E419" s="291">
        <v>67897116</v>
      </c>
      <c r="F419" s="291">
        <v>20207500</v>
      </c>
      <c r="G419" s="292"/>
      <c r="H419" s="88"/>
      <c r="I419" s="88"/>
      <c r="J419" s="293"/>
      <c r="K419" s="88"/>
      <c r="L419" s="88"/>
      <c r="M419" s="88"/>
      <c r="N419" s="294"/>
      <c r="O419" s="88"/>
      <c r="P419" s="88"/>
      <c r="Q419" s="88"/>
      <c r="R419" s="88"/>
      <c r="S419" s="88"/>
      <c r="T419" s="88"/>
      <c r="U419" s="88"/>
      <c r="V419" s="88"/>
      <c r="W419" s="88"/>
      <c r="X419" s="88"/>
      <c r="Y419" s="88"/>
      <c r="Z419" s="88"/>
      <c r="AA419" s="88"/>
      <c r="AB419" s="88"/>
      <c r="AC419" s="88"/>
      <c r="AD419" s="88"/>
      <c r="AE419" s="88"/>
      <c r="AF419" s="88"/>
      <c r="AG419" s="88"/>
      <c r="AH419" s="88"/>
    </row>
    <row r="420" spans="1:34" ht="69.75" customHeight="1" x14ac:dyDescent="0.25">
      <c r="A420" s="948"/>
      <c r="B420" s="694"/>
      <c r="C420" s="694"/>
      <c r="D420" s="295" t="s">
        <v>1148</v>
      </c>
      <c r="E420" s="291">
        <v>375068706</v>
      </c>
      <c r="F420" s="291">
        <v>112050666</v>
      </c>
      <c r="G420" s="292"/>
      <c r="H420" s="88"/>
      <c r="I420" s="88"/>
      <c r="J420" s="293"/>
      <c r="K420" s="88"/>
      <c r="L420" s="88"/>
      <c r="M420" s="88"/>
      <c r="N420" s="294"/>
      <c r="O420" s="88"/>
      <c r="P420" s="88"/>
      <c r="Q420" s="88"/>
      <c r="R420" s="88"/>
      <c r="S420" s="88"/>
      <c r="T420" s="88"/>
      <c r="U420" s="88"/>
      <c r="V420" s="88"/>
      <c r="W420" s="88"/>
      <c r="X420" s="88"/>
      <c r="Y420" s="88"/>
      <c r="Z420" s="88"/>
      <c r="AA420" s="88"/>
      <c r="AB420" s="88"/>
      <c r="AC420" s="88"/>
      <c r="AD420" s="88"/>
      <c r="AE420" s="88"/>
      <c r="AF420" s="88"/>
      <c r="AG420" s="88"/>
      <c r="AH420" s="88"/>
    </row>
    <row r="421" spans="1:34" ht="69.75" customHeight="1" x14ac:dyDescent="0.25">
      <c r="A421" s="948"/>
      <c r="B421" s="694"/>
      <c r="C421" s="694"/>
      <c r="D421" s="295" t="s">
        <v>1149</v>
      </c>
      <c r="E421" s="291">
        <v>313790000</v>
      </c>
      <c r="F421" s="291">
        <v>108041800</v>
      </c>
      <c r="G421" s="292"/>
      <c r="H421" s="88"/>
      <c r="I421" s="88"/>
      <c r="J421" s="293"/>
      <c r="K421" s="88"/>
      <c r="L421" s="88"/>
      <c r="M421" s="88"/>
      <c r="N421" s="294"/>
      <c r="O421" s="88"/>
      <c r="P421" s="88"/>
      <c r="Q421" s="88"/>
      <c r="R421" s="88"/>
      <c r="S421" s="88"/>
      <c r="T421" s="88"/>
      <c r="U421" s="88"/>
      <c r="V421" s="88"/>
      <c r="W421" s="88"/>
      <c r="X421" s="88"/>
      <c r="Y421" s="88"/>
      <c r="Z421" s="88"/>
      <c r="AA421" s="88"/>
      <c r="AB421" s="88"/>
      <c r="AC421" s="88"/>
      <c r="AD421" s="88"/>
      <c r="AE421" s="88"/>
      <c r="AF421" s="88"/>
      <c r="AG421" s="88"/>
      <c r="AH421" s="88"/>
    </row>
    <row r="422" spans="1:34" ht="69.75" customHeight="1" x14ac:dyDescent="0.25">
      <c r="A422" s="948"/>
      <c r="B422" s="733"/>
      <c r="C422" s="733"/>
      <c r="D422" s="295" t="s">
        <v>891</v>
      </c>
      <c r="E422" s="296">
        <v>443325000</v>
      </c>
      <c r="F422" s="296">
        <v>146091734</v>
      </c>
      <c r="G422" s="298"/>
      <c r="H422" s="88"/>
      <c r="I422" s="88"/>
      <c r="J422" s="293"/>
      <c r="K422" s="88"/>
      <c r="L422" s="88"/>
      <c r="M422" s="88"/>
      <c r="N422" s="294"/>
      <c r="O422" s="88"/>
      <c r="P422" s="88"/>
      <c r="Q422" s="88"/>
      <c r="R422" s="88"/>
      <c r="S422" s="88"/>
      <c r="T422" s="88"/>
      <c r="U422" s="88"/>
      <c r="V422" s="88"/>
      <c r="W422" s="88"/>
      <c r="X422" s="88"/>
      <c r="Y422" s="88"/>
      <c r="Z422" s="88"/>
      <c r="AA422" s="88"/>
      <c r="AB422" s="88"/>
      <c r="AC422" s="88"/>
      <c r="AD422" s="88"/>
      <c r="AE422" s="88"/>
      <c r="AF422" s="88"/>
      <c r="AG422" s="88"/>
      <c r="AH422" s="88"/>
    </row>
    <row r="423" spans="1:34" ht="69.75" customHeight="1" x14ac:dyDescent="0.25">
      <c r="A423" s="948"/>
      <c r="B423" s="30" t="s">
        <v>971</v>
      </c>
      <c r="C423" s="30" t="s">
        <v>972</v>
      </c>
      <c r="D423" s="295" t="s">
        <v>1150</v>
      </c>
      <c r="E423" s="291">
        <v>222016000</v>
      </c>
      <c r="F423" s="291">
        <v>64739434</v>
      </c>
      <c r="G423" s="292"/>
      <c r="H423" s="88"/>
      <c r="I423" s="88"/>
      <c r="J423" s="293"/>
      <c r="K423" s="88"/>
      <c r="L423" s="88"/>
      <c r="M423" s="88"/>
      <c r="N423" s="294"/>
      <c r="O423" s="88"/>
      <c r="P423" s="88"/>
      <c r="Q423" s="88"/>
      <c r="R423" s="88"/>
      <c r="S423" s="88"/>
      <c r="T423" s="88"/>
      <c r="U423" s="88"/>
      <c r="V423" s="88"/>
      <c r="W423" s="88"/>
      <c r="X423" s="88"/>
      <c r="Y423" s="88"/>
      <c r="Z423" s="88"/>
      <c r="AA423" s="88"/>
      <c r="AB423" s="88"/>
      <c r="AC423" s="88"/>
      <c r="AD423" s="88"/>
      <c r="AE423" s="88"/>
      <c r="AF423" s="88"/>
      <c r="AG423" s="88"/>
      <c r="AH423" s="88"/>
    </row>
    <row r="424" spans="1:34" ht="69.75" customHeight="1" x14ac:dyDescent="0.25">
      <c r="A424" s="953"/>
      <c r="B424" s="30" t="s">
        <v>975</v>
      </c>
      <c r="C424" s="30" t="s">
        <v>976</v>
      </c>
      <c r="D424" s="295" t="s">
        <v>381</v>
      </c>
      <c r="E424" s="291">
        <v>754641627</v>
      </c>
      <c r="F424" s="291">
        <v>192001861</v>
      </c>
      <c r="G424" s="292"/>
      <c r="H424" s="88"/>
      <c r="I424" s="88"/>
      <c r="J424" s="293"/>
      <c r="K424" s="88"/>
      <c r="L424" s="88"/>
      <c r="M424" s="88"/>
      <c r="N424" s="294"/>
      <c r="O424" s="88"/>
      <c r="P424" s="88"/>
      <c r="Q424" s="88"/>
      <c r="R424" s="88"/>
      <c r="S424" s="88"/>
      <c r="T424" s="88"/>
      <c r="U424" s="88"/>
      <c r="V424" s="88"/>
      <c r="W424" s="88"/>
      <c r="X424" s="88"/>
      <c r="Y424" s="88"/>
      <c r="Z424" s="88"/>
      <c r="AA424" s="88"/>
      <c r="AB424" s="88"/>
      <c r="AC424" s="88"/>
      <c r="AD424" s="88"/>
      <c r="AE424" s="88"/>
      <c r="AF424" s="88"/>
      <c r="AG424" s="88"/>
      <c r="AH424" s="88"/>
    </row>
    <row r="425" spans="1:34" ht="69.75" customHeight="1" x14ac:dyDescent="0.25">
      <c r="A425" s="952" t="s">
        <v>931</v>
      </c>
      <c r="B425" s="957" t="s">
        <v>963</v>
      </c>
      <c r="C425" s="957" t="s">
        <v>964</v>
      </c>
      <c r="D425" s="290" t="s">
        <v>344</v>
      </c>
      <c r="E425" s="291">
        <v>556207000</v>
      </c>
      <c r="F425" s="291">
        <v>225108767</v>
      </c>
      <c r="G425" s="292"/>
      <c r="H425" s="88"/>
      <c r="I425" s="88"/>
      <c r="J425" s="293"/>
      <c r="K425" s="88"/>
      <c r="L425" s="88"/>
      <c r="M425" s="88"/>
      <c r="N425" s="294"/>
      <c r="O425" s="88"/>
      <c r="P425" s="88"/>
      <c r="Q425" s="88"/>
      <c r="R425" s="88"/>
      <c r="S425" s="88"/>
      <c r="T425" s="88"/>
      <c r="U425" s="88"/>
      <c r="V425" s="88"/>
      <c r="W425" s="88"/>
      <c r="X425" s="88"/>
      <c r="Y425" s="88"/>
      <c r="Z425" s="88"/>
      <c r="AA425" s="88"/>
      <c r="AB425" s="88"/>
      <c r="AC425" s="88"/>
      <c r="AD425" s="88"/>
      <c r="AE425" s="88"/>
      <c r="AF425" s="88"/>
      <c r="AG425" s="88"/>
      <c r="AH425" s="88"/>
    </row>
    <row r="426" spans="1:34" ht="69.75" customHeight="1" x14ac:dyDescent="0.25">
      <c r="A426" s="948"/>
      <c r="B426" s="694"/>
      <c r="C426" s="694"/>
      <c r="D426" s="290" t="s">
        <v>355</v>
      </c>
      <c r="E426" s="291">
        <v>172920000</v>
      </c>
      <c r="F426" s="291">
        <v>73923300</v>
      </c>
      <c r="G426" s="292"/>
      <c r="H426" s="88"/>
      <c r="I426" s="88"/>
      <c r="J426" s="293"/>
      <c r="K426" s="88"/>
      <c r="L426" s="88"/>
      <c r="M426" s="88"/>
      <c r="N426" s="294"/>
      <c r="O426" s="88"/>
      <c r="P426" s="88"/>
      <c r="Q426" s="88"/>
      <c r="R426" s="88"/>
      <c r="S426" s="88"/>
      <c r="T426" s="88"/>
      <c r="U426" s="88"/>
      <c r="V426" s="88"/>
      <c r="W426" s="88"/>
      <c r="X426" s="88"/>
      <c r="Y426" s="88"/>
      <c r="Z426" s="88"/>
      <c r="AA426" s="88"/>
      <c r="AB426" s="88"/>
      <c r="AC426" s="88"/>
      <c r="AD426" s="88"/>
      <c r="AE426" s="88"/>
      <c r="AF426" s="88"/>
      <c r="AG426" s="88"/>
      <c r="AH426" s="88"/>
    </row>
    <row r="427" spans="1:34" ht="69.75" customHeight="1" x14ac:dyDescent="0.25">
      <c r="A427" s="948"/>
      <c r="B427" s="733"/>
      <c r="C427" s="733"/>
      <c r="D427" s="290" t="s">
        <v>358</v>
      </c>
      <c r="E427" s="291">
        <v>27200000</v>
      </c>
      <c r="F427" s="291">
        <v>12965333</v>
      </c>
      <c r="G427" s="292"/>
      <c r="H427" s="88"/>
      <c r="I427" s="88"/>
      <c r="J427" s="293"/>
      <c r="K427" s="88"/>
      <c r="L427" s="88"/>
      <c r="M427" s="88"/>
      <c r="N427" s="294"/>
      <c r="O427" s="88"/>
      <c r="P427" s="88"/>
      <c r="Q427" s="88"/>
      <c r="R427" s="88"/>
      <c r="S427" s="88"/>
      <c r="T427" s="88"/>
      <c r="U427" s="88"/>
      <c r="V427" s="88"/>
      <c r="W427" s="88"/>
      <c r="X427" s="88"/>
      <c r="Y427" s="88"/>
      <c r="Z427" s="88"/>
      <c r="AA427" s="88"/>
      <c r="AB427" s="88"/>
      <c r="AC427" s="88"/>
      <c r="AD427" s="88"/>
      <c r="AE427" s="88"/>
      <c r="AF427" s="88"/>
      <c r="AG427" s="88"/>
      <c r="AH427" s="88"/>
    </row>
    <row r="428" spans="1:34" ht="69.75" customHeight="1" x14ac:dyDescent="0.25">
      <c r="A428" s="948"/>
      <c r="B428" s="965" t="s">
        <v>967</v>
      </c>
      <c r="C428" s="965" t="s">
        <v>968</v>
      </c>
      <c r="D428" s="295" t="s">
        <v>362</v>
      </c>
      <c r="E428" s="291">
        <v>67897116</v>
      </c>
      <c r="F428" s="291">
        <v>28290500</v>
      </c>
      <c r="G428" s="292"/>
      <c r="H428" s="88"/>
      <c r="I428" s="88"/>
      <c r="J428" s="293"/>
      <c r="K428" s="88"/>
      <c r="L428" s="88"/>
      <c r="M428" s="88"/>
      <c r="N428" s="294"/>
      <c r="O428" s="88"/>
      <c r="P428" s="88"/>
      <c r="Q428" s="88"/>
      <c r="R428" s="88"/>
      <c r="S428" s="88"/>
      <c r="T428" s="88"/>
      <c r="U428" s="88"/>
      <c r="V428" s="88"/>
      <c r="W428" s="88"/>
      <c r="X428" s="88"/>
      <c r="Y428" s="88"/>
      <c r="Z428" s="88"/>
      <c r="AA428" s="88"/>
      <c r="AB428" s="88"/>
      <c r="AC428" s="88"/>
      <c r="AD428" s="88"/>
      <c r="AE428" s="88"/>
      <c r="AF428" s="88"/>
      <c r="AG428" s="88"/>
      <c r="AH428" s="88"/>
    </row>
    <row r="429" spans="1:34" ht="69.75" customHeight="1" x14ac:dyDescent="0.25">
      <c r="A429" s="948"/>
      <c r="B429" s="694"/>
      <c r="C429" s="694"/>
      <c r="D429" s="295" t="s">
        <v>1148</v>
      </c>
      <c r="E429" s="291">
        <v>375068706</v>
      </c>
      <c r="F429" s="291">
        <v>155398666</v>
      </c>
      <c r="G429" s="292"/>
      <c r="H429" s="88"/>
      <c r="I429" s="88"/>
      <c r="J429" s="293"/>
      <c r="K429" s="88"/>
      <c r="L429" s="88"/>
      <c r="M429" s="88"/>
      <c r="N429" s="294"/>
      <c r="O429" s="88"/>
      <c r="P429" s="88"/>
      <c r="Q429" s="88"/>
      <c r="R429" s="88"/>
      <c r="S429" s="88"/>
      <c r="T429" s="88"/>
      <c r="U429" s="88"/>
      <c r="V429" s="88"/>
      <c r="W429" s="88"/>
      <c r="X429" s="88"/>
      <c r="Y429" s="88"/>
      <c r="Z429" s="88"/>
      <c r="AA429" s="88"/>
      <c r="AB429" s="88"/>
      <c r="AC429" s="88"/>
      <c r="AD429" s="88"/>
      <c r="AE429" s="88"/>
      <c r="AF429" s="88"/>
      <c r="AG429" s="88"/>
      <c r="AH429" s="88"/>
    </row>
    <row r="430" spans="1:34" ht="69.75" customHeight="1" x14ac:dyDescent="0.25">
      <c r="A430" s="948"/>
      <c r="B430" s="694"/>
      <c r="C430" s="694"/>
      <c r="D430" s="295" t="s">
        <v>1149</v>
      </c>
      <c r="E430" s="291">
        <v>313790000</v>
      </c>
      <c r="F430" s="291">
        <v>135982800</v>
      </c>
      <c r="G430" s="292"/>
      <c r="H430" s="88"/>
      <c r="I430" s="88"/>
      <c r="J430" s="293"/>
      <c r="K430" s="88"/>
      <c r="L430" s="88"/>
      <c r="M430" s="88"/>
      <c r="N430" s="294"/>
      <c r="O430" s="88"/>
      <c r="P430" s="88"/>
      <c r="Q430" s="88"/>
      <c r="R430" s="88"/>
      <c r="S430" s="88"/>
      <c r="T430" s="88"/>
      <c r="U430" s="88"/>
      <c r="V430" s="88"/>
      <c r="W430" s="88"/>
      <c r="X430" s="88"/>
      <c r="Y430" s="88"/>
      <c r="Z430" s="88"/>
      <c r="AA430" s="88"/>
      <c r="AB430" s="88"/>
      <c r="AC430" s="88"/>
      <c r="AD430" s="88"/>
      <c r="AE430" s="88"/>
      <c r="AF430" s="88"/>
      <c r="AG430" s="88"/>
      <c r="AH430" s="88"/>
    </row>
    <row r="431" spans="1:34" ht="69.75" customHeight="1" x14ac:dyDescent="0.25">
      <c r="A431" s="948"/>
      <c r="B431" s="733"/>
      <c r="C431" s="733"/>
      <c r="D431" s="295" t="s">
        <v>891</v>
      </c>
      <c r="E431" s="296">
        <v>443325000</v>
      </c>
      <c r="F431" s="296">
        <v>192585734</v>
      </c>
      <c r="G431" s="298"/>
      <c r="H431" s="88"/>
      <c r="I431" s="88"/>
      <c r="J431" s="293"/>
      <c r="K431" s="88"/>
      <c r="L431" s="88"/>
      <c r="M431" s="88"/>
      <c r="N431" s="294"/>
      <c r="O431" s="88"/>
      <c r="P431" s="88"/>
      <c r="Q431" s="88"/>
      <c r="R431" s="88"/>
      <c r="S431" s="88"/>
      <c r="T431" s="88"/>
      <c r="U431" s="88"/>
      <c r="V431" s="88"/>
      <c r="W431" s="88"/>
      <c r="X431" s="88"/>
      <c r="Y431" s="88"/>
      <c r="Z431" s="88"/>
      <c r="AA431" s="88"/>
      <c r="AB431" s="88"/>
      <c r="AC431" s="88"/>
      <c r="AD431" s="88"/>
      <c r="AE431" s="88"/>
      <c r="AF431" s="88"/>
      <c r="AG431" s="88"/>
      <c r="AH431" s="88"/>
    </row>
    <row r="432" spans="1:34" ht="69.75" customHeight="1" x14ac:dyDescent="0.25">
      <c r="A432" s="948"/>
      <c r="B432" s="30" t="s">
        <v>971</v>
      </c>
      <c r="C432" s="30" t="s">
        <v>972</v>
      </c>
      <c r="D432" s="295" t="s">
        <v>1150</v>
      </c>
      <c r="E432" s="291">
        <v>222016000</v>
      </c>
      <c r="F432" s="291">
        <v>86883434</v>
      </c>
      <c r="G432" s="292"/>
      <c r="H432" s="88"/>
      <c r="I432" s="88"/>
      <c r="J432" s="293"/>
      <c r="K432" s="88"/>
      <c r="L432" s="88"/>
      <c r="M432" s="88"/>
      <c r="N432" s="294"/>
      <c r="O432" s="88"/>
      <c r="P432" s="88"/>
      <c r="Q432" s="88"/>
      <c r="R432" s="88"/>
      <c r="S432" s="88"/>
      <c r="T432" s="88"/>
      <c r="U432" s="88"/>
      <c r="V432" s="88"/>
      <c r="W432" s="88"/>
      <c r="X432" s="88"/>
      <c r="Y432" s="88"/>
      <c r="Z432" s="88"/>
      <c r="AA432" s="88"/>
      <c r="AB432" s="88"/>
      <c r="AC432" s="88"/>
      <c r="AD432" s="88"/>
      <c r="AE432" s="88"/>
      <c r="AF432" s="88"/>
      <c r="AG432" s="88"/>
      <c r="AH432" s="88"/>
    </row>
    <row r="433" spans="1:34" ht="69.75" customHeight="1" x14ac:dyDescent="0.25">
      <c r="A433" s="953"/>
      <c r="B433" s="30" t="s">
        <v>975</v>
      </c>
      <c r="C433" s="30" t="s">
        <v>976</v>
      </c>
      <c r="D433" s="295" t="s">
        <v>381</v>
      </c>
      <c r="E433" s="291">
        <v>754641627</v>
      </c>
      <c r="F433" s="291">
        <v>291259304</v>
      </c>
      <c r="G433" s="292"/>
      <c r="H433" s="88"/>
      <c r="I433" s="88"/>
      <c r="J433" s="293"/>
      <c r="K433" s="88"/>
      <c r="L433" s="88"/>
      <c r="M433" s="88"/>
      <c r="N433" s="294"/>
      <c r="O433" s="88"/>
      <c r="P433" s="88"/>
      <c r="Q433" s="88"/>
      <c r="R433" s="88"/>
      <c r="S433" s="88"/>
      <c r="T433" s="88"/>
      <c r="U433" s="88"/>
      <c r="V433" s="88"/>
      <c r="W433" s="88"/>
      <c r="X433" s="88"/>
      <c r="Y433" s="88"/>
      <c r="Z433" s="88"/>
      <c r="AA433" s="88"/>
      <c r="AB433" s="88"/>
      <c r="AC433" s="88"/>
      <c r="AD433" s="88"/>
      <c r="AE433" s="88"/>
      <c r="AF433" s="88"/>
      <c r="AG433" s="88"/>
      <c r="AH433" s="88"/>
    </row>
    <row r="434" spans="1:34" ht="69.75" customHeight="1" x14ac:dyDescent="0.25">
      <c r="A434" s="952" t="s">
        <v>932</v>
      </c>
      <c r="B434" s="957" t="s">
        <v>963</v>
      </c>
      <c r="C434" s="957" t="s">
        <v>964</v>
      </c>
      <c r="D434" s="290" t="s">
        <v>344</v>
      </c>
      <c r="E434" s="291">
        <v>605339000</v>
      </c>
      <c r="F434" s="291">
        <v>276425767</v>
      </c>
      <c r="G434" s="292"/>
      <c r="H434" s="88"/>
      <c r="I434" s="88"/>
      <c r="J434" s="293"/>
      <c r="K434" s="88"/>
      <c r="L434" s="88"/>
      <c r="M434" s="88"/>
      <c r="N434" s="294"/>
      <c r="O434" s="88"/>
      <c r="P434" s="88"/>
      <c r="Q434" s="88"/>
      <c r="R434" s="88"/>
      <c r="S434" s="88"/>
      <c r="T434" s="88"/>
      <c r="U434" s="88"/>
      <c r="V434" s="88"/>
      <c r="W434" s="88"/>
      <c r="X434" s="88"/>
      <c r="Y434" s="88"/>
      <c r="Z434" s="88"/>
      <c r="AA434" s="88"/>
      <c r="AB434" s="88"/>
      <c r="AC434" s="88"/>
      <c r="AD434" s="88"/>
      <c r="AE434" s="88"/>
      <c r="AF434" s="88"/>
      <c r="AG434" s="88"/>
      <c r="AH434" s="88"/>
    </row>
    <row r="435" spans="1:34" ht="69.75" customHeight="1" x14ac:dyDescent="0.25">
      <c r="A435" s="948"/>
      <c r="B435" s="694"/>
      <c r="C435" s="694"/>
      <c r="D435" s="290" t="s">
        <v>355</v>
      </c>
      <c r="E435" s="291">
        <v>172920000</v>
      </c>
      <c r="F435" s="291">
        <v>91215300</v>
      </c>
      <c r="G435" s="292"/>
      <c r="H435" s="88"/>
      <c r="I435" s="88"/>
      <c r="J435" s="293"/>
      <c r="K435" s="88"/>
      <c r="L435" s="88"/>
      <c r="M435" s="88"/>
      <c r="N435" s="294"/>
      <c r="O435" s="88"/>
      <c r="P435" s="88"/>
      <c r="Q435" s="88"/>
      <c r="R435" s="88"/>
      <c r="S435" s="88"/>
      <c r="T435" s="88"/>
      <c r="U435" s="88"/>
      <c r="V435" s="88"/>
      <c r="W435" s="88"/>
      <c r="X435" s="88"/>
      <c r="Y435" s="88"/>
      <c r="Z435" s="88"/>
      <c r="AA435" s="88"/>
      <c r="AB435" s="88"/>
      <c r="AC435" s="88"/>
      <c r="AD435" s="88"/>
      <c r="AE435" s="88"/>
      <c r="AF435" s="88"/>
      <c r="AG435" s="88"/>
      <c r="AH435" s="88"/>
    </row>
    <row r="436" spans="1:34" ht="69.75" customHeight="1" x14ac:dyDescent="0.25">
      <c r="A436" s="948"/>
      <c r="B436" s="733"/>
      <c r="C436" s="733"/>
      <c r="D436" s="290" t="s">
        <v>358</v>
      </c>
      <c r="E436" s="291">
        <v>29920000</v>
      </c>
      <c r="F436" s="291">
        <v>15685333</v>
      </c>
      <c r="G436" s="292"/>
      <c r="H436" s="88"/>
      <c r="I436" s="88"/>
      <c r="J436" s="293"/>
      <c r="K436" s="88"/>
      <c r="L436" s="88"/>
      <c r="M436" s="88"/>
      <c r="N436" s="294"/>
      <c r="O436" s="88"/>
      <c r="P436" s="88"/>
      <c r="Q436" s="88"/>
      <c r="R436" s="88"/>
      <c r="S436" s="88"/>
      <c r="T436" s="88"/>
      <c r="U436" s="88"/>
      <c r="V436" s="88"/>
      <c r="W436" s="88"/>
      <c r="X436" s="88"/>
      <c r="Y436" s="88"/>
      <c r="Z436" s="88"/>
      <c r="AA436" s="88"/>
      <c r="AB436" s="88"/>
      <c r="AC436" s="88"/>
      <c r="AD436" s="88"/>
      <c r="AE436" s="88"/>
      <c r="AF436" s="88"/>
      <c r="AG436" s="88"/>
      <c r="AH436" s="88"/>
    </row>
    <row r="437" spans="1:34" ht="69.75" customHeight="1" x14ac:dyDescent="0.25">
      <c r="A437" s="948"/>
      <c r="B437" s="965" t="s">
        <v>967</v>
      </c>
      <c r="C437" s="965" t="s">
        <v>968</v>
      </c>
      <c r="D437" s="295" t="s">
        <v>362</v>
      </c>
      <c r="E437" s="291">
        <v>76788500</v>
      </c>
      <c r="F437" s="291">
        <v>36373500</v>
      </c>
      <c r="G437" s="292"/>
      <c r="H437" s="88"/>
      <c r="I437" s="88"/>
      <c r="J437" s="293"/>
      <c r="K437" s="88"/>
      <c r="L437" s="88"/>
      <c r="M437" s="88"/>
      <c r="N437" s="294"/>
      <c r="O437" s="88"/>
      <c r="P437" s="88"/>
      <c r="Q437" s="88"/>
      <c r="R437" s="88"/>
      <c r="S437" s="88"/>
      <c r="T437" s="88"/>
      <c r="U437" s="88"/>
      <c r="V437" s="88"/>
      <c r="W437" s="88"/>
      <c r="X437" s="88"/>
      <c r="Y437" s="88"/>
      <c r="Z437" s="88"/>
      <c r="AA437" s="88"/>
      <c r="AB437" s="88"/>
      <c r="AC437" s="88"/>
      <c r="AD437" s="88"/>
      <c r="AE437" s="88"/>
      <c r="AF437" s="88"/>
      <c r="AG437" s="88"/>
      <c r="AH437" s="88"/>
    </row>
    <row r="438" spans="1:34" ht="69.75" customHeight="1" x14ac:dyDescent="0.25">
      <c r="A438" s="948"/>
      <c r="B438" s="694"/>
      <c r="C438" s="694"/>
      <c r="D438" s="295" t="s">
        <v>1148</v>
      </c>
      <c r="E438" s="291">
        <v>734844689</v>
      </c>
      <c r="F438" s="291">
        <v>198746666</v>
      </c>
      <c r="G438" s="292"/>
      <c r="H438" s="88"/>
      <c r="I438" s="88"/>
      <c r="J438" s="293"/>
      <c r="K438" s="88"/>
      <c r="L438" s="88"/>
      <c r="M438" s="88"/>
      <c r="N438" s="294"/>
      <c r="O438" s="88"/>
      <c r="P438" s="88"/>
      <c r="Q438" s="88"/>
      <c r="R438" s="88"/>
      <c r="S438" s="88"/>
      <c r="T438" s="88"/>
      <c r="U438" s="88"/>
      <c r="V438" s="88"/>
      <c r="W438" s="88"/>
      <c r="X438" s="88"/>
      <c r="Y438" s="88"/>
      <c r="Z438" s="88"/>
      <c r="AA438" s="88"/>
      <c r="AB438" s="88"/>
      <c r="AC438" s="88"/>
      <c r="AD438" s="88"/>
      <c r="AE438" s="88"/>
      <c r="AF438" s="88"/>
      <c r="AG438" s="88"/>
      <c r="AH438" s="88"/>
    </row>
    <row r="439" spans="1:34" ht="69.75" customHeight="1" x14ac:dyDescent="0.25">
      <c r="A439" s="948"/>
      <c r="B439" s="694"/>
      <c r="C439" s="694"/>
      <c r="D439" s="295" t="s">
        <v>1149</v>
      </c>
      <c r="E439" s="291">
        <v>333790000</v>
      </c>
      <c r="F439" s="291">
        <v>163923800</v>
      </c>
      <c r="G439" s="292"/>
      <c r="H439" s="88"/>
      <c r="I439" s="88"/>
      <c r="J439" s="293"/>
      <c r="K439" s="88"/>
      <c r="L439" s="88"/>
      <c r="M439" s="88"/>
      <c r="N439" s="294"/>
      <c r="O439" s="88"/>
      <c r="P439" s="88"/>
      <c r="Q439" s="88"/>
      <c r="R439" s="88"/>
      <c r="S439" s="88"/>
      <c r="T439" s="88"/>
      <c r="U439" s="88"/>
      <c r="V439" s="88"/>
      <c r="W439" s="88"/>
      <c r="X439" s="88"/>
      <c r="Y439" s="88"/>
      <c r="Z439" s="88"/>
      <c r="AA439" s="88"/>
      <c r="AB439" s="88"/>
      <c r="AC439" s="88"/>
      <c r="AD439" s="88"/>
      <c r="AE439" s="88"/>
      <c r="AF439" s="88"/>
      <c r="AG439" s="88"/>
      <c r="AH439" s="88"/>
    </row>
    <row r="440" spans="1:34" ht="69.75" customHeight="1" x14ac:dyDescent="0.25">
      <c r="A440" s="948"/>
      <c r="B440" s="733"/>
      <c r="C440" s="733"/>
      <c r="D440" s="295" t="s">
        <v>891</v>
      </c>
      <c r="E440" s="296">
        <v>443888000</v>
      </c>
      <c r="F440" s="296">
        <v>239079734</v>
      </c>
      <c r="G440" s="298"/>
      <c r="H440" s="88"/>
      <c r="I440" s="88"/>
      <c r="J440" s="293"/>
      <c r="K440" s="88"/>
      <c r="L440" s="88"/>
      <c r="M440" s="88"/>
      <c r="N440" s="294"/>
      <c r="O440" s="88"/>
      <c r="P440" s="88"/>
      <c r="Q440" s="88"/>
      <c r="R440" s="88"/>
      <c r="S440" s="88"/>
      <c r="T440" s="88"/>
      <c r="U440" s="88"/>
      <c r="V440" s="88"/>
      <c r="W440" s="88"/>
      <c r="X440" s="88"/>
      <c r="Y440" s="88"/>
      <c r="Z440" s="88"/>
      <c r="AA440" s="88"/>
      <c r="AB440" s="88"/>
      <c r="AC440" s="88"/>
      <c r="AD440" s="88"/>
      <c r="AE440" s="88"/>
      <c r="AF440" s="88"/>
      <c r="AG440" s="88"/>
      <c r="AH440" s="88"/>
    </row>
    <row r="441" spans="1:34" ht="69.75" customHeight="1" x14ac:dyDescent="0.25">
      <c r="A441" s="948"/>
      <c r="B441" s="30" t="s">
        <v>971</v>
      </c>
      <c r="C441" s="30" t="s">
        <v>972</v>
      </c>
      <c r="D441" s="295" t="s">
        <v>1150</v>
      </c>
      <c r="E441" s="291">
        <v>277709000</v>
      </c>
      <c r="F441" s="291">
        <v>109027434</v>
      </c>
      <c r="G441" s="292"/>
      <c r="H441" s="88"/>
      <c r="I441" s="88"/>
      <c r="J441" s="293"/>
      <c r="K441" s="88"/>
      <c r="L441" s="88"/>
      <c r="M441" s="88"/>
      <c r="N441" s="294"/>
      <c r="O441" s="88"/>
      <c r="P441" s="88"/>
      <c r="Q441" s="88"/>
      <c r="R441" s="88"/>
      <c r="S441" s="88"/>
      <c r="T441" s="88"/>
      <c r="U441" s="88"/>
      <c r="V441" s="88"/>
      <c r="W441" s="88"/>
      <c r="X441" s="88"/>
      <c r="Y441" s="88"/>
      <c r="Z441" s="88"/>
      <c r="AA441" s="88"/>
      <c r="AB441" s="88"/>
      <c r="AC441" s="88"/>
      <c r="AD441" s="88"/>
      <c r="AE441" s="88"/>
      <c r="AF441" s="88"/>
      <c r="AG441" s="88"/>
      <c r="AH441" s="88"/>
    </row>
    <row r="442" spans="1:34" ht="69.75" customHeight="1" x14ac:dyDescent="0.25">
      <c r="A442" s="953"/>
      <c r="B442" s="30" t="s">
        <v>975</v>
      </c>
      <c r="C442" s="30" t="s">
        <v>976</v>
      </c>
      <c r="D442" s="295" t="s">
        <v>381</v>
      </c>
      <c r="E442" s="291">
        <v>779641627</v>
      </c>
      <c r="F442" s="291">
        <v>382449164</v>
      </c>
      <c r="G442" s="292"/>
      <c r="H442" s="88"/>
      <c r="I442" s="88"/>
      <c r="J442" s="293"/>
      <c r="K442" s="88"/>
      <c r="L442" s="88"/>
      <c r="M442" s="88"/>
      <c r="N442" s="294"/>
      <c r="O442" s="88"/>
      <c r="P442" s="88"/>
      <c r="Q442" s="88"/>
      <c r="R442" s="88"/>
      <c r="S442" s="88"/>
      <c r="T442" s="88"/>
      <c r="U442" s="88"/>
      <c r="V442" s="88"/>
      <c r="W442" s="88"/>
      <c r="X442" s="88"/>
      <c r="Y442" s="88"/>
      <c r="Z442" s="88"/>
      <c r="AA442" s="88"/>
      <c r="AB442" s="88"/>
      <c r="AC442" s="88"/>
      <c r="AD442" s="88"/>
      <c r="AE442" s="88"/>
      <c r="AF442" s="88"/>
      <c r="AG442" s="88"/>
      <c r="AH442" s="88"/>
    </row>
    <row r="443" spans="1:34" ht="69.75" customHeight="1" x14ac:dyDescent="0.25">
      <c r="A443" s="952" t="s">
        <v>933</v>
      </c>
      <c r="B443" s="957" t="s">
        <v>963</v>
      </c>
      <c r="C443" s="957" t="s">
        <v>964</v>
      </c>
      <c r="D443" s="290" t="s">
        <v>344</v>
      </c>
      <c r="E443" s="291">
        <v>605339000</v>
      </c>
      <c r="F443" s="291">
        <v>327742767</v>
      </c>
      <c r="G443" s="292"/>
      <c r="H443" s="88"/>
      <c r="I443" s="88"/>
      <c r="J443" s="293"/>
      <c r="K443" s="88"/>
      <c r="L443" s="88"/>
      <c r="M443" s="88"/>
      <c r="N443" s="294"/>
      <c r="O443" s="88"/>
      <c r="P443" s="88"/>
      <c r="Q443" s="88"/>
      <c r="R443" s="88"/>
      <c r="S443" s="88"/>
      <c r="T443" s="88"/>
      <c r="U443" s="88"/>
      <c r="V443" s="88"/>
      <c r="W443" s="88"/>
      <c r="X443" s="88"/>
      <c r="Y443" s="88"/>
      <c r="Z443" s="88"/>
      <c r="AA443" s="88"/>
      <c r="AB443" s="88"/>
      <c r="AC443" s="88"/>
      <c r="AD443" s="88"/>
      <c r="AE443" s="88"/>
      <c r="AF443" s="88"/>
      <c r="AG443" s="88"/>
      <c r="AH443" s="88"/>
    </row>
    <row r="444" spans="1:34" ht="69.75" customHeight="1" x14ac:dyDescent="0.25">
      <c r="A444" s="948"/>
      <c r="B444" s="694"/>
      <c r="C444" s="694"/>
      <c r="D444" s="290" t="s">
        <v>355</v>
      </c>
      <c r="E444" s="291">
        <v>172920000</v>
      </c>
      <c r="F444" s="291">
        <v>108507300</v>
      </c>
      <c r="G444" s="292"/>
      <c r="H444" s="88"/>
      <c r="I444" s="88"/>
      <c r="J444" s="293"/>
      <c r="K444" s="88"/>
      <c r="L444" s="88"/>
      <c r="M444" s="88"/>
      <c r="N444" s="294"/>
      <c r="O444" s="88"/>
      <c r="P444" s="88"/>
      <c r="Q444" s="88"/>
      <c r="R444" s="88"/>
      <c r="S444" s="88"/>
      <c r="T444" s="88"/>
      <c r="U444" s="88"/>
      <c r="V444" s="88"/>
      <c r="W444" s="88"/>
      <c r="X444" s="88"/>
      <c r="Y444" s="88"/>
      <c r="Z444" s="88"/>
      <c r="AA444" s="88"/>
      <c r="AB444" s="88"/>
      <c r="AC444" s="88"/>
      <c r="AD444" s="88"/>
      <c r="AE444" s="88"/>
      <c r="AF444" s="88"/>
      <c r="AG444" s="88"/>
      <c r="AH444" s="88"/>
    </row>
    <row r="445" spans="1:34" ht="69.75" customHeight="1" x14ac:dyDescent="0.25">
      <c r="A445" s="948"/>
      <c r="B445" s="733"/>
      <c r="C445" s="733"/>
      <c r="D445" s="290" t="s">
        <v>358</v>
      </c>
      <c r="E445" s="291">
        <v>29920000</v>
      </c>
      <c r="F445" s="291">
        <v>18405333</v>
      </c>
      <c r="G445" s="292"/>
      <c r="H445" s="88"/>
      <c r="I445" s="88"/>
      <c r="J445" s="293"/>
      <c r="K445" s="88"/>
      <c r="L445" s="88"/>
      <c r="M445" s="88"/>
      <c r="N445" s="294"/>
      <c r="O445" s="88"/>
      <c r="P445" s="88"/>
      <c r="Q445" s="88"/>
      <c r="R445" s="88"/>
      <c r="S445" s="88"/>
      <c r="T445" s="88"/>
      <c r="U445" s="88"/>
      <c r="V445" s="88"/>
      <c r="W445" s="88"/>
      <c r="X445" s="88"/>
      <c r="Y445" s="88"/>
      <c r="Z445" s="88"/>
      <c r="AA445" s="88"/>
      <c r="AB445" s="88"/>
      <c r="AC445" s="88"/>
      <c r="AD445" s="88"/>
      <c r="AE445" s="88"/>
      <c r="AF445" s="88"/>
      <c r="AG445" s="88"/>
      <c r="AH445" s="88"/>
    </row>
    <row r="446" spans="1:34" ht="69.75" customHeight="1" x14ac:dyDescent="0.25">
      <c r="A446" s="948"/>
      <c r="B446" s="965" t="s">
        <v>967</v>
      </c>
      <c r="C446" s="965" t="s">
        <v>968</v>
      </c>
      <c r="D446" s="295" t="s">
        <v>362</v>
      </c>
      <c r="E446" s="291">
        <v>76788500</v>
      </c>
      <c r="F446" s="291">
        <v>44456500</v>
      </c>
      <c r="G446" s="292"/>
      <c r="H446" s="88"/>
      <c r="I446" s="88"/>
      <c r="J446" s="293"/>
      <c r="K446" s="88"/>
      <c r="L446" s="88"/>
      <c r="M446" s="88"/>
      <c r="N446" s="294"/>
      <c r="O446" s="88"/>
      <c r="P446" s="88"/>
      <c r="Q446" s="88"/>
      <c r="R446" s="88"/>
      <c r="S446" s="88"/>
      <c r="T446" s="88"/>
      <c r="U446" s="88"/>
      <c r="V446" s="88"/>
      <c r="W446" s="88"/>
      <c r="X446" s="88"/>
      <c r="Y446" s="88"/>
      <c r="Z446" s="88"/>
      <c r="AA446" s="88"/>
      <c r="AB446" s="88"/>
      <c r="AC446" s="88"/>
      <c r="AD446" s="88"/>
      <c r="AE446" s="88"/>
      <c r="AF446" s="88"/>
      <c r="AG446" s="88"/>
      <c r="AH446" s="88"/>
    </row>
    <row r="447" spans="1:34" ht="69.75" customHeight="1" x14ac:dyDescent="0.25">
      <c r="A447" s="948"/>
      <c r="B447" s="694"/>
      <c r="C447" s="694"/>
      <c r="D447" s="295" t="s">
        <v>1148</v>
      </c>
      <c r="E447" s="291">
        <v>734844689</v>
      </c>
      <c r="F447" s="291">
        <v>242094666</v>
      </c>
      <c r="G447" s="292"/>
      <c r="H447" s="88"/>
      <c r="I447" s="88"/>
      <c r="J447" s="293"/>
      <c r="K447" s="88"/>
      <c r="L447" s="88"/>
      <c r="M447" s="88"/>
      <c r="N447" s="294"/>
      <c r="O447" s="88"/>
      <c r="P447" s="88"/>
      <c r="Q447" s="88"/>
      <c r="R447" s="88"/>
      <c r="S447" s="88"/>
      <c r="T447" s="88"/>
      <c r="U447" s="88"/>
      <c r="V447" s="88"/>
      <c r="W447" s="88"/>
      <c r="X447" s="88"/>
      <c r="Y447" s="88"/>
      <c r="Z447" s="88"/>
      <c r="AA447" s="88"/>
      <c r="AB447" s="88"/>
      <c r="AC447" s="88"/>
      <c r="AD447" s="88"/>
      <c r="AE447" s="88"/>
      <c r="AF447" s="88"/>
      <c r="AG447" s="88"/>
      <c r="AH447" s="88"/>
    </row>
    <row r="448" spans="1:34" ht="69.75" customHeight="1" x14ac:dyDescent="0.25">
      <c r="A448" s="948"/>
      <c r="B448" s="694"/>
      <c r="C448" s="694"/>
      <c r="D448" s="295" t="s">
        <v>1149</v>
      </c>
      <c r="E448" s="291">
        <v>333790000</v>
      </c>
      <c r="F448" s="291">
        <v>195302800</v>
      </c>
      <c r="G448" s="292"/>
      <c r="H448" s="88"/>
      <c r="I448" s="88"/>
      <c r="J448" s="293"/>
      <c r="K448" s="88"/>
      <c r="L448" s="88"/>
      <c r="M448" s="88"/>
      <c r="N448" s="294"/>
      <c r="O448" s="88"/>
      <c r="P448" s="88"/>
      <c r="Q448" s="88"/>
      <c r="R448" s="88"/>
      <c r="S448" s="88"/>
      <c r="T448" s="88"/>
      <c r="U448" s="88"/>
      <c r="V448" s="88"/>
      <c r="W448" s="88"/>
      <c r="X448" s="88"/>
      <c r="Y448" s="88"/>
      <c r="Z448" s="88"/>
      <c r="AA448" s="88"/>
      <c r="AB448" s="88"/>
      <c r="AC448" s="88"/>
      <c r="AD448" s="88"/>
      <c r="AE448" s="88"/>
      <c r="AF448" s="88"/>
      <c r="AG448" s="88"/>
      <c r="AH448" s="88"/>
    </row>
    <row r="449" spans="1:34" ht="69.75" customHeight="1" x14ac:dyDescent="0.25">
      <c r="A449" s="948"/>
      <c r="B449" s="733"/>
      <c r="C449" s="733"/>
      <c r="D449" s="295" t="s">
        <v>891</v>
      </c>
      <c r="E449" s="296">
        <v>443888000</v>
      </c>
      <c r="F449" s="296">
        <v>281250734</v>
      </c>
      <c r="G449" s="298"/>
      <c r="H449" s="88"/>
      <c r="I449" s="88"/>
      <c r="J449" s="293"/>
      <c r="K449" s="88"/>
      <c r="L449" s="88"/>
      <c r="M449" s="88"/>
      <c r="N449" s="294"/>
      <c r="O449" s="88"/>
      <c r="P449" s="88"/>
      <c r="Q449" s="88"/>
      <c r="R449" s="88"/>
      <c r="S449" s="88"/>
      <c r="T449" s="88"/>
      <c r="U449" s="88"/>
      <c r="V449" s="88"/>
      <c r="W449" s="88"/>
      <c r="X449" s="88"/>
      <c r="Y449" s="88"/>
      <c r="Z449" s="88"/>
      <c r="AA449" s="88"/>
      <c r="AB449" s="88"/>
      <c r="AC449" s="88"/>
      <c r="AD449" s="88"/>
      <c r="AE449" s="88"/>
      <c r="AF449" s="88"/>
      <c r="AG449" s="88"/>
      <c r="AH449" s="88"/>
    </row>
    <row r="450" spans="1:34" ht="69.75" customHeight="1" x14ac:dyDescent="0.25">
      <c r="A450" s="948"/>
      <c r="B450" s="30" t="s">
        <v>971</v>
      </c>
      <c r="C450" s="30" t="s">
        <v>972</v>
      </c>
      <c r="D450" s="295" t="s">
        <v>1150</v>
      </c>
      <c r="E450" s="291">
        <v>277709000</v>
      </c>
      <c r="F450" s="291">
        <v>135160101</v>
      </c>
      <c r="G450" s="292"/>
      <c r="H450" s="88"/>
      <c r="I450" s="88"/>
      <c r="J450" s="293"/>
      <c r="K450" s="88"/>
      <c r="L450" s="88"/>
      <c r="M450" s="88"/>
      <c r="N450" s="294"/>
      <c r="O450" s="88"/>
      <c r="P450" s="88"/>
      <c r="Q450" s="88"/>
      <c r="R450" s="88"/>
      <c r="S450" s="88"/>
      <c r="T450" s="88"/>
      <c r="U450" s="88"/>
      <c r="V450" s="88"/>
      <c r="W450" s="88"/>
      <c r="X450" s="88"/>
      <c r="Y450" s="88"/>
      <c r="Z450" s="88"/>
      <c r="AA450" s="88"/>
      <c r="AB450" s="88"/>
      <c r="AC450" s="88"/>
      <c r="AD450" s="88"/>
      <c r="AE450" s="88"/>
      <c r="AF450" s="88"/>
      <c r="AG450" s="88"/>
      <c r="AH450" s="88"/>
    </row>
    <row r="451" spans="1:34" ht="42.75" customHeight="1" x14ac:dyDescent="0.25">
      <c r="A451" s="953"/>
      <c r="B451" s="30" t="s">
        <v>975</v>
      </c>
      <c r="C451" s="30" t="s">
        <v>976</v>
      </c>
      <c r="D451" s="295" t="s">
        <v>381</v>
      </c>
      <c r="E451" s="291">
        <v>779641627</v>
      </c>
      <c r="F451" s="291">
        <v>454216764</v>
      </c>
      <c r="G451" s="292"/>
      <c r="H451" s="88"/>
      <c r="I451" s="88"/>
      <c r="J451" s="293"/>
      <c r="K451" s="88"/>
      <c r="L451" s="88"/>
      <c r="M451" s="88"/>
      <c r="N451" s="294"/>
      <c r="O451" s="88"/>
      <c r="P451" s="88"/>
      <c r="Q451" s="88"/>
      <c r="R451" s="88"/>
      <c r="S451" s="88"/>
      <c r="T451" s="88"/>
      <c r="U451" s="88"/>
      <c r="V451" s="88"/>
      <c r="W451" s="88"/>
      <c r="X451" s="88"/>
      <c r="Y451" s="88"/>
      <c r="Z451" s="88"/>
      <c r="AA451" s="88"/>
      <c r="AB451" s="88"/>
      <c r="AC451" s="88"/>
      <c r="AD451" s="88"/>
      <c r="AE451" s="88"/>
      <c r="AF451" s="88"/>
      <c r="AG451" s="88"/>
      <c r="AH451" s="88"/>
    </row>
    <row r="452" spans="1:34" ht="69.75" customHeight="1" x14ac:dyDescent="0.25">
      <c r="A452" s="952" t="s">
        <v>934</v>
      </c>
      <c r="B452" s="957" t="s">
        <v>963</v>
      </c>
      <c r="C452" s="957" t="s">
        <v>964</v>
      </c>
      <c r="D452" s="290" t="s">
        <v>344</v>
      </c>
      <c r="E452" s="291">
        <v>605339000</v>
      </c>
      <c r="F452" s="291">
        <v>379059767</v>
      </c>
      <c r="G452" s="292"/>
      <c r="H452" s="88"/>
      <c r="I452" s="88"/>
      <c r="J452" s="293"/>
      <c r="K452" s="88"/>
      <c r="L452" s="88"/>
      <c r="M452" s="88"/>
      <c r="N452" s="294"/>
      <c r="O452" s="88"/>
      <c r="P452" s="88"/>
      <c r="Q452" s="88"/>
      <c r="R452" s="88"/>
      <c r="S452" s="88"/>
      <c r="T452" s="88"/>
      <c r="U452" s="88"/>
      <c r="V452" s="88"/>
      <c r="W452" s="88"/>
      <c r="X452" s="88"/>
      <c r="Y452" s="88"/>
      <c r="Z452" s="88"/>
      <c r="AA452" s="88"/>
      <c r="AB452" s="88"/>
      <c r="AC452" s="88"/>
      <c r="AD452" s="88"/>
      <c r="AE452" s="88"/>
      <c r="AF452" s="88"/>
      <c r="AG452" s="88"/>
      <c r="AH452" s="88"/>
    </row>
    <row r="453" spans="1:34" ht="69.75" customHeight="1" x14ac:dyDescent="0.25">
      <c r="A453" s="948"/>
      <c r="B453" s="694"/>
      <c r="C453" s="694"/>
      <c r="D453" s="290" t="s">
        <v>355</v>
      </c>
      <c r="E453" s="291">
        <v>172920000</v>
      </c>
      <c r="F453" s="291">
        <v>125799300</v>
      </c>
      <c r="G453" s="292"/>
      <c r="H453" s="88"/>
      <c r="I453" s="88"/>
      <c r="J453" s="293"/>
      <c r="K453" s="88"/>
      <c r="L453" s="88"/>
      <c r="M453" s="88"/>
      <c r="N453" s="294"/>
      <c r="O453" s="88"/>
      <c r="P453" s="88"/>
      <c r="Q453" s="88"/>
      <c r="R453" s="88"/>
      <c r="S453" s="88"/>
      <c r="T453" s="88"/>
      <c r="U453" s="88"/>
      <c r="V453" s="88"/>
      <c r="W453" s="88"/>
      <c r="X453" s="88"/>
      <c r="Y453" s="88"/>
      <c r="Z453" s="88"/>
      <c r="AA453" s="88"/>
      <c r="AB453" s="88"/>
      <c r="AC453" s="88"/>
      <c r="AD453" s="88"/>
      <c r="AE453" s="88"/>
      <c r="AF453" s="88"/>
      <c r="AG453" s="88"/>
      <c r="AH453" s="88"/>
    </row>
    <row r="454" spans="1:34" ht="69.75" customHeight="1" x14ac:dyDescent="0.25">
      <c r="A454" s="948"/>
      <c r="B454" s="733"/>
      <c r="C454" s="733"/>
      <c r="D454" s="290" t="s">
        <v>358</v>
      </c>
      <c r="E454" s="291">
        <v>29920000</v>
      </c>
      <c r="F454" s="291">
        <v>21125333</v>
      </c>
      <c r="G454" s="292"/>
      <c r="H454" s="88"/>
      <c r="I454" s="88"/>
      <c r="J454" s="293"/>
      <c r="K454" s="88"/>
      <c r="L454" s="88"/>
      <c r="M454" s="88"/>
      <c r="N454" s="294"/>
      <c r="O454" s="88"/>
      <c r="P454" s="88"/>
      <c r="Q454" s="88"/>
      <c r="R454" s="88"/>
      <c r="S454" s="88"/>
      <c r="T454" s="88"/>
      <c r="U454" s="88"/>
      <c r="V454" s="88"/>
      <c r="W454" s="88"/>
      <c r="X454" s="88"/>
      <c r="Y454" s="88"/>
      <c r="Z454" s="88"/>
      <c r="AA454" s="88"/>
      <c r="AB454" s="88"/>
      <c r="AC454" s="88"/>
      <c r="AD454" s="88"/>
      <c r="AE454" s="88"/>
      <c r="AF454" s="88"/>
      <c r="AG454" s="88"/>
      <c r="AH454" s="88"/>
    </row>
    <row r="455" spans="1:34" ht="69.75" customHeight="1" x14ac:dyDescent="0.25">
      <c r="A455" s="948"/>
      <c r="B455" s="965" t="s">
        <v>967</v>
      </c>
      <c r="C455" s="965" t="s">
        <v>968</v>
      </c>
      <c r="D455" s="295" t="s">
        <v>362</v>
      </c>
      <c r="E455" s="291">
        <v>76788500</v>
      </c>
      <c r="F455" s="291">
        <v>52539500</v>
      </c>
      <c r="G455" s="292"/>
      <c r="H455" s="88"/>
      <c r="I455" s="88"/>
      <c r="J455" s="293"/>
      <c r="K455" s="88"/>
      <c r="L455" s="88"/>
      <c r="M455" s="88"/>
      <c r="N455" s="294"/>
      <c r="O455" s="88"/>
      <c r="P455" s="88"/>
      <c r="Q455" s="88"/>
      <c r="R455" s="88"/>
      <c r="S455" s="88"/>
      <c r="T455" s="88"/>
      <c r="U455" s="88"/>
      <c r="V455" s="88"/>
      <c r="W455" s="88"/>
      <c r="X455" s="88"/>
      <c r="Y455" s="88"/>
      <c r="Z455" s="88"/>
      <c r="AA455" s="88"/>
      <c r="AB455" s="88"/>
      <c r="AC455" s="88"/>
      <c r="AD455" s="88"/>
      <c r="AE455" s="88"/>
      <c r="AF455" s="88"/>
      <c r="AG455" s="88"/>
      <c r="AH455" s="88"/>
    </row>
    <row r="456" spans="1:34" ht="69.75" customHeight="1" x14ac:dyDescent="0.25">
      <c r="A456" s="948"/>
      <c r="B456" s="694"/>
      <c r="C456" s="694"/>
      <c r="D456" s="295" t="s">
        <v>1148</v>
      </c>
      <c r="E456" s="291">
        <v>734844689</v>
      </c>
      <c r="F456" s="291">
        <v>310195333</v>
      </c>
      <c r="G456" s="292"/>
      <c r="H456" s="88"/>
      <c r="I456" s="88"/>
      <c r="J456" s="293"/>
      <c r="K456" s="88"/>
      <c r="L456" s="88"/>
      <c r="M456" s="88"/>
      <c r="N456" s="294"/>
      <c r="O456" s="88"/>
      <c r="P456" s="88"/>
      <c r="Q456" s="88"/>
      <c r="R456" s="88"/>
      <c r="S456" s="88"/>
      <c r="T456" s="88"/>
      <c r="U456" s="88"/>
      <c r="V456" s="88"/>
      <c r="W456" s="88"/>
      <c r="X456" s="88"/>
      <c r="Y456" s="88"/>
      <c r="Z456" s="88"/>
      <c r="AA456" s="88"/>
      <c r="AB456" s="88"/>
      <c r="AC456" s="88"/>
      <c r="AD456" s="88"/>
      <c r="AE456" s="88"/>
      <c r="AF456" s="88"/>
      <c r="AG456" s="88"/>
      <c r="AH456" s="88"/>
    </row>
    <row r="457" spans="1:34" ht="69.75" customHeight="1" x14ac:dyDescent="0.25">
      <c r="A457" s="948"/>
      <c r="B457" s="694"/>
      <c r="C457" s="694"/>
      <c r="D457" s="295" t="s">
        <v>1149</v>
      </c>
      <c r="E457" s="291">
        <v>333790000</v>
      </c>
      <c r="F457" s="291">
        <v>227025600</v>
      </c>
      <c r="G457" s="292"/>
      <c r="H457" s="88"/>
      <c r="I457" s="88"/>
      <c r="J457" s="293"/>
      <c r="K457" s="88"/>
      <c r="L457" s="88"/>
      <c r="M457" s="88"/>
      <c r="N457" s="294"/>
      <c r="O457" s="88"/>
      <c r="P457" s="88"/>
      <c r="Q457" s="88"/>
      <c r="R457" s="88"/>
      <c r="S457" s="88"/>
      <c r="T457" s="88"/>
      <c r="U457" s="88"/>
      <c r="V457" s="88"/>
      <c r="W457" s="88"/>
      <c r="X457" s="88"/>
      <c r="Y457" s="88"/>
      <c r="Z457" s="88"/>
      <c r="AA457" s="88"/>
      <c r="AB457" s="88"/>
      <c r="AC457" s="88"/>
      <c r="AD457" s="88"/>
      <c r="AE457" s="88"/>
      <c r="AF457" s="88"/>
      <c r="AG457" s="88"/>
      <c r="AH457" s="88"/>
    </row>
    <row r="458" spans="1:34" ht="69.75" customHeight="1" x14ac:dyDescent="0.25">
      <c r="A458" s="948"/>
      <c r="B458" s="733"/>
      <c r="C458" s="733"/>
      <c r="D458" s="295" t="s">
        <v>891</v>
      </c>
      <c r="E458" s="296">
        <v>443888000</v>
      </c>
      <c r="F458" s="296">
        <v>326159634</v>
      </c>
      <c r="G458" s="298"/>
      <c r="H458" s="88"/>
      <c r="I458" s="88"/>
      <c r="J458" s="293"/>
      <c r="K458" s="88"/>
      <c r="L458" s="88"/>
      <c r="M458" s="88"/>
      <c r="N458" s="294"/>
      <c r="O458" s="88"/>
      <c r="P458" s="88"/>
      <c r="Q458" s="88"/>
      <c r="R458" s="88"/>
      <c r="S458" s="88"/>
      <c r="T458" s="88"/>
      <c r="U458" s="88"/>
      <c r="V458" s="88"/>
      <c r="W458" s="88"/>
      <c r="X458" s="88"/>
      <c r="Y458" s="88"/>
      <c r="Z458" s="88"/>
      <c r="AA458" s="88"/>
      <c r="AB458" s="88"/>
      <c r="AC458" s="88"/>
      <c r="AD458" s="88"/>
      <c r="AE458" s="88"/>
      <c r="AF458" s="88"/>
      <c r="AG458" s="88"/>
      <c r="AH458" s="88"/>
    </row>
    <row r="459" spans="1:34" ht="69.75" customHeight="1" x14ac:dyDescent="0.25">
      <c r="A459" s="948"/>
      <c r="B459" s="30" t="s">
        <v>971</v>
      </c>
      <c r="C459" s="30" t="s">
        <v>972</v>
      </c>
      <c r="D459" s="295" t="s">
        <v>1150</v>
      </c>
      <c r="E459" s="291">
        <v>277709000</v>
      </c>
      <c r="F459" s="291">
        <v>169864101</v>
      </c>
      <c r="G459" s="292"/>
      <c r="H459" s="88"/>
      <c r="I459" s="88"/>
      <c r="J459" s="293"/>
      <c r="K459" s="88"/>
      <c r="L459" s="88"/>
      <c r="M459" s="88"/>
      <c r="N459" s="294"/>
      <c r="O459" s="88"/>
      <c r="P459" s="88"/>
      <c r="Q459" s="88"/>
      <c r="R459" s="88"/>
      <c r="S459" s="88"/>
      <c r="T459" s="88"/>
      <c r="U459" s="88"/>
      <c r="V459" s="88"/>
      <c r="W459" s="88"/>
      <c r="X459" s="88"/>
      <c r="Y459" s="88"/>
      <c r="Z459" s="88"/>
      <c r="AA459" s="88"/>
      <c r="AB459" s="88"/>
      <c r="AC459" s="88"/>
      <c r="AD459" s="88"/>
      <c r="AE459" s="88"/>
      <c r="AF459" s="88"/>
      <c r="AG459" s="88"/>
      <c r="AH459" s="88"/>
    </row>
    <row r="460" spans="1:34" ht="69.75" customHeight="1" x14ac:dyDescent="0.25">
      <c r="A460" s="953"/>
      <c r="B460" s="30" t="s">
        <v>975</v>
      </c>
      <c r="C460" s="30" t="s">
        <v>976</v>
      </c>
      <c r="D460" s="295" t="s">
        <v>381</v>
      </c>
      <c r="E460" s="291">
        <v>779641627</v>
      </c>
      <c r="F460" s="291">
        <v>520123927</v>
      </c>
      <c r="G460" s="292"/>
      <c r="H460" s="88"/>
      <c r="I460" s="88"/>
      <c r="J460" s="293"/>
      <c r="K460" s="88"/>
      <c r="L460" s="88"/>
      <c r="M460" s="88"/>
      <c r="N460" s="294"/>
      <c r="O460" s="88"/>
      <c r="P460" s="88"/>
      <c r="Q460" s="88"/>
      <c r="R460" s="88"/>
      <c r="S460" s="88"/>
      <c r="T460" s="88"/>
      <c r="U460" s="88"/>
      <c r="V460" s="88"/>
      <c r="W460" s="88"/>
      <c r="X460" s="88"/>
      <c r="Y460" s="88"/>
      <c r="Z460" s="88"/>
      <c r="AA460" s="88"/>
      <c r="AB460" s="88"/>
      <c r="AC460" s="88"/>
      <c r="AD460" s="88"/>
      <c r="AE460" s="88"/>
      <c r="AF460" s="88"/>
      <c r="AG460" s="88"/>
      <c r="AH460" s="88"/>
    </row>
    <row r="461" spans="1:34" ht="69.75" customHeight="1" x14ac:dyDescent="0.25">
      <c r="A461" s="952" t="s">
        <v>936</v>
      </c>
      <c r="B461" s="957" t="s">
        <v>963</v>
      </c>
      <c r="C461" s="957" t="s">
        <v>964</v>
      </c>
      <c r="D461" s="290" t="s">
        <v>344</v>
      </c>
      <c r="E461" s="291">
        <v>605339000</v>
      </c>
      <c r="F461" s="291">
        <v>430376767</v>
      </c>
      <c r="G461" s="292"/>
      <c r="H461" s="88"/>
      <c r="I461" s="88"/>
      <c r="J461" s="293"/>
      <c r="K461" s="88"/>
      <c r="L461" s="88"/>
      <c r="M461" s="88"/>
      <c r="N461" s="294"/>
      <c r="O461" s="88"/>
      <c r="P461" s="88"/>
      <c r="Q461" s="88"/>
      <c r="R461" s="88"/>
      <c r="S461" s="88"/>
      <c r="T461" s="88"/>
      <c r="U461" s="88"/>
      <c r="V461" s="88"/>
      <c r="W461" s="88"/>
      <c r="X461" s="88"/>
      <c r="Y461" s="88"/>
      <c r="Z461" s="88"/>
      <c r="AA461" s="88"/>
      <c r="AB461" s="88"/>
      <c r="AC461" s="88"/>
      <c r="AD461" s="88"/>
      <c r="AE461" s="88"/>
      <c r="AF461" s="88"/>
      <c r="AG461" s="88"/>
      <c r="AH461" s="88"/>
    </row>
    <row r="462" spans="1:34" ht="69.75" customHeight="1" x14ac:dyDescent="0.25">
      <c r="A462" s="948"/>
      <c r="B462" s="694"/>
      <c r="C462" s="694"/>
      <c r="D462" s="290" t="s">
        <v>355</v>
      </c>
      <c r="E462" s="291">
        <v>172920000</v>
      </c>
      <c r="F462" s="291">
        <v>143091300</v>
      </c>
      <c r="G462" s="292"/>
      <c r="H462" s="88"/>
      <c r="I462" s="88"/>
      <c r="J462" s="293"/>
      <c r="K462" s="88"/>
      <c r="L462" s="88"/>
      <c r="M462" s="88"/>
      <c r="N462" s="294"/>
      <c r="O462" s="88"/>
      <c r="P462" s="88"/>
      <c r="Q462" s="88"/>
      <c r="R462" s="88"/>
      <c r="S462" s="88"/>
      <c r="T462" s="88"/>
      <c r="U462" s="88"/>
      <c r="V462" s="88"/>
      <c r="W462" s="88"/>
      <c r="X462" s="88"/>
      <c r="Y462" s="88"/>
      <c r="Z462" s="88"/>
      <c r="AA462" s="88"/>
      <c r="AB462" s="88"/>
      <c r="AC462" s="88"/>
      <c r="AD462" s="88"/>
      <c r="AE462" s="88"/>
      <c r="AF462" s="88"/>
      <c r="AG462" s="88"/>
      <c r="AH462" s="88"/>
    </row>
    <row r="463" spans="1:34" ht="69.75" customHeight="1" x14ac:dyDescent="0.25">
      <c r="A463" s="948"/>
      <c r="B463" s="733"/>
      <c r="C463" s="733"/>
      <c r="D463" s="290" t="s">
        <v>358</v>
      </c>
      <c r="E463" s="291">
        <v>29920000</v>
      </c>
      <c r="F463" s="291">
        <v>23845333</v>
      </c>
      <c r="G463" s="292"/>
      <c r="H463" s="88"/>
      <c r="I463" s="88"/>
      <c r="J463" s="293"/>
      <c r="K463" s="88"/>
      <c r="L463" s="88"/>
      <c r="M463" s="88"/>
      <c r="N463" s="294"/>
      <c r="O463" s="88"/>
      <c r="P463" s="88"/>
      <c r="Q463" s="88"/>
      <c r="R463" s="88"/>
      <c r="S463" s="88"/>
      <c r="T463" s="88"/>
      <c r="U463" s="88"/>
      <c r="V463" s="88"/>
      <c r="W463" s="88"/>
      <c r="X463" s="88"/>
      <c r="Y463" s="88"/>
      <c r="Z463" s="88"/>
      <c r="AA463" s="88"/>
      <c r="AB463" s="88"/>
      <c r="AC463" s="88"/>
      <c r="AD463" s="88"/>
      <c r="AE463" s="88"/>
      <c r="AF463" s="88"/>
      <c r="AG463" s="88"/>
      <c r="AH463" s="88"/>
    </row>
    <row r="464" spans="1:34" ht="69.75" customHeight="1" x14ac:dyDescent="0.25">
      <c r="A464" s="948"/>
      <c r="B464" s="965" t="s">
        <v>967</v>
      </c>
      <c r="C464" s="965" t="s">
        <v>968</v>
      </c>
      <c r="D464" s="295" t="s">
        <v>362</v>
      </c>
      <c r="E464" s="291">
        <v>76788500</v>
      </c>
      <c r="F464" s="291">
        <v>60622500</v>
      </c>
      <c r="G464" s="292"/>
      <c r="H464" s="88"/>
      <c r="I464" s="88"/>
      <c r="J464" s="293"/>
      <c r="K464" s="88"/>
      <c r="L464" s="88"/>
      <c r="M464" s="88"/>
      <c r="N464" s="294"/>
      <c r="O464" s="88"/>
      <c r="P464" s="88"/>
      <c r="Q464" s="88"/>
      <c r="R464" s="88"/>
      <c r="S464" s="88"/>
      <c r="T464" s="88"/>
      <c r="U464" s="88"/>
      <c r="V464" s="88"/>
      <c r="W464" s="88"/>
      <c r="X464" s="88"/>
      <c r="Y464" s="88"/>
      <c r="Z464" s="88"/>
      <c r="AA464" s="88"/>
      <c r="AB464" s="88"/>
      <c r="AC464" s="88"/>
      <c r="AD464" s="88"/>
      <c r="AE464" s="88"/>
      <c r="AF464" s="88"/>
      <c r="AG464" s="88"/>
      <c r="AH464" s="88"/>
    </row>
    <row r="465" spans="1:34" ht="69.75" customHeight="1" x14ac:dyDescent="0.25">
      <c r="A465" s="948"/>
      <c r="B465" s="694"/>
      <c r="C465" s="694"/>
      <c r="D465" s="295" t="s">
        <v>1148</v>
      </c>
      <c r="E465" s="291">
        <v>709813189</v>
      </c>
      <c r="F465" s="291">
        <v>420167333</v>
      </c>
      <c r="G465" s="292"/>
      <c r="H465" s="88"/>
      <c r="I465" s="88"/>
      <c r="J465" s="293"/>
      <c r="K465" s="88"/>
      <c r="L465" s="88"/>
      <c r="M465" s="88"/>
      <c r="N465" s="294"/>
      <c r="O465" s="88"/>
      <c r="P465" s="88"/>
      <c r="Q465" s="88"/>
      <c r="R465" s="88"/>
      <c r="S465" s="88"/>
      <c r="T465" s="88"/>
      <c r="U465" s="88"/>
      <c r="V465" s="88"/>
      <c r="W465" s="88"/>
      <c r="X465" s="88"/>
      <c r="Y465" s="88"/>
      <c r="Z465" s="88"/>
      <c r="AA465" s="88"/>
      <c r="AB465" s="88"/>
      <c r="AC465" s="88"/>
      <c r="AD465" s="88"/>
      <c r="AE465" s="88"/>
      <c r="AF465" s="88"/>
      <c r="AG465" s="88"/>
      <c r="AH465" s="88"/>
    </row>
    <row r="466" spans="1:34" ht="69.75" customHeight="1" x14ac:dyDescent="0.25">
      <c r="A466" s="948"/>
      <c r="B466" s="694"/>
      <c r="C466" s="694"/>
      <c r="D466" s="295" t="s">
        <v>1149</v>
      </c>
      <c r="E466" s="291">
        <v>333790000</v>
      </c>
      <c r="F466" s="291">
        <v>269177000</v>
      </c>
      <c r="G466" s="292"/>
      <c r="H466" s="88"/>
      <c r="I466" s="88"/>
      <c r="J466" s="293"/>
      <c r="K466" s="88"/>
      <c r="L466" s="88"/>
      <c r="M466" s="88"/>
      <c r="N466" s="294"/>
      <c r="O466" s="88"/>
      <c r="P466" s="88"/>
      <c r="Q466" s="88"/>
      <c r="R466" s="88"/>
      <c r="S466" s="88"/>
      <c r="T466" s="88"/>
      <c r="U466" s="88"/>
      <c r="V466" s="88"/>
      <c r="W466" s="88"/>
      <c r="X466" s="88"/>
      <c r="Y466" s="88"/>
      <c r="Z466" s="88"/>
      <c r="AA466" s="88"/>
      <c r="AB466" s="88"/>
      <c r="AC466" s="88"/>
      <c r="AD466" s="88"/>
      <c r="AE466" s="88"/>
      <c r="AF466" s="88"/>
      <c r="AG466" s="88"/>
      <c r="AH466" s="88"/>
    </row>
    <row r="467" spans="1:34" ht="69.75" customHeight="1" x14ac:dyDescent="0.25">
      <c r="A467" s="948"/>
      <c r="B467" s="733"/>
      <c r="C467" s="733"/>
      <c r="D467" s="295" t="s">
        <v>891</v>
      </c>
      <c r="E467" s="296">
        <v>447929500</v>
      </c>
      <c r="F467" s="296">
        <v>372653634</v>
      </c>
      <c r="G467" s="298"/>
      <c r="H467" s="88"/>
      <c r="I467" s="88"/>
      <c r="J467" s="293"/>
      <c r="K467" s="88"/>
      <c r="L467" s="88"/>
      <c r="M467" s="88"/>
      <c r="N467" s="294"/>
      <c r="O467" s="88"/>
      <c r="P467" s="88"/>
      <c r="Q467" s="88"/>
      <c r="R467" s="88"/>
      <c r="S467" s="88"/>
      <c r="T467" s="88"/>
      <c r="U467" s="88"/>
      <c r="V467" s="88"/>
      <c r="W467" s="88"/>
      <c r="X467" s="88"/>
      <c r="Y467" s="88"/>
      <c r="Z467" s="88"/>
      <c r="AA467" s="88"/>
      <c r="AB467" s="88"/>
      <c r="AC467" s="88"/>
      <c r="AD467" s="88"/>
      <c r="AE467" s="88"/>
      <c r="AF467" s="88"/>
      <c r="AG467" s="88"/>
      <c r="AH467" s="88"/>
    </row>
    <row r="468" spans="1:34" ht="69.75" customHeight="1" x14ac:dyDescent="0.25">
      <c r="A468" s="948"/>
      <c r="B468" s="30" t="s">
        <v>971</v>
      </c>
      <c r="C468" s="30" t="s">
        <v>972</v>
      </c>
      <c r="D468" s="295" t="s">
        <v>1150</v>
      </c>
      <c r="E468" s="291">
        <v>277709000</v>
      </c>
      <c r="F468" s="291">
        <v>204568101</v>
      </c>
      <c r="G468" s="292"/>
      <c r="H468" s="88"/>
      <c r="I468" s="88"/>
      <c r="J468" s="293"/>
      <c r="K468" s="88"/>
      <c r="L468" s="88"/>
      <c r="M468" s="88"/>
      <c r="N468" s="294"/>
      <c r="O468" s="88"/>
      <c r="P468" s="88"/>
      <c r="Q468" s="88"/>
      <c r="R468" s="88"/>
      <c r="S468" s="88"/>
      <c r="T468" s="88"/>
      <c r="U468" s="88"/>
      <c r="V468" s="88"/>
      <c r="W468" s="88"/>
      <c r="X468" s="88"/>
      <c r="Y468" s="88"/>
      <c r="Z468" s="88"/>
      <c r="AA468" s="88"/>
      <c r="AB468" s="88"/>
      <c r="AC468" s="88"/>
      <c r="AD468" s="88"/>
      <c r="AE468" s="88"/>
      <c r="AF468" s="88"/>
      <c r="AG468" s="88"/>
      <c r="AH468" s="88"/>
    </row>
    <row r="469" spans="1:34" ht="69.75" customHeight="1" x14ac:dyDescent="0.25">
      <c r="A469" s="953"/>
      <c r="B469" s="30" t="s">
        <v>975</v>
      </c>
      <c r="C469" s="30" t="s">
        <v>976</v>
      </c>
      <c r="D469" s="295" t="s">
        <v>381</v>
      </c>
      <c r="E469" s="291">
        <v>800631627</v>
      </c>
      <c r="F469" s="291">
        <v>589355555</v>
      </c>
      <c r="G469" s="292"/>
      <c r="H469" s="88"/>
      <c r="I469" s="88"/>
      <c r="J469" s="293"/>
      <c r="K469" s="88"/>
      <c r="L469" s="88"/>
      <c r="M469" s="88"/>
      <c r="N469" s="294"/>
      <c r="O469" s="88"/>
      <c r="P469" s="88"/>
      <c r="Q469" s="88"/>
      <c r="R469" s="88"/>
      <c r="S469" s="88"/>
      <c r="T469" s="88"/>
      <c r="U469" s="88"/>
      <c r="V469" s="88"/>
      <c r="W469" s="88"/>
      <c r="X469" s="88"/>
      <c r="Y469" s="88"/>
      <c r="Z469" s="88"/>
      <c r="AA469" s="88"/>
      <c r="AB469" s="88"/>
      <c r="AC469" s="88"/>
      <c r="AD469" s="88"/>
      <c r="AE469" s="88"/>
      <c r="AF469" s="88"/>
      <c r="AG469" s="88"/>
      <c r="AH469" s="88"/>
    </row>
    <row r="470" spans="1:34" ht="69.75" customHeight="1" x14ac:dyDescent="0.25">
      <c r="A470" s="952" t="s">
        <v>939</v>
      </c>
      <c r="B470" s="957" t="s">
        <v>963</v>
      </c>
      <c r="C470" s="957" t="s">
        <v>964</v>
      </c>
      <c r="D470" s="290" t="s">
        <v>344</v>
      </c>
      <c r="E470" s="291">
        <v>971277000</v>
      </c>
      <c r="F470" s="291">
        <v>0</v>
      </c>
      <c r="G470" s="292"/>
      <c r="H470" s="88"/>
      <c r="I470" s="88"/>
      <c r="J470" s="293"/>
      <c r="K470" s="88"/>
      <c r="L470" s="88"/>
      <c r="M470" s="88"/>
      <c r="N470" s="294"/>
      <c r="O470" s="88"/>
      <c r="P470" s="88"/>
      <c r="Q470" s="88"/>
      <c r="R470" s="88"/>
      <c r="S470" s="88"/>
      <c r="T470" s="88"/>
      <c r="U470" s="88"/>
      <c r="V470" s="88"/>
      <c r="W470" s="88"/>
      <c r="X470" s="88"/>
      <c r="Y470" s="88"/>
      <c r="Z470" s="88"/>
      <c r="AA470" s="88"/>
      <c r="AB470" s="88"/>
      <c r="AC470" s="88"/>
      <c r="AD470" s="88"/>
      <c r="AE470" s="88"/>
      <c r="AF470" s="88"/>
      <c r="AG470" s="88"/>
      <c r="AH470" s="88"/>
    </row>
    <row r="471" spans="1:34" ht="69.75" customHeight="1" x14ac:dyDescent="0.25">
      <c r="A471" s="948"/>
      <c r="B471" s="694"/>
      <c r="C471" s="694"/>
      <c r="D471" s="290" t="s">
        <v>355</v>
      </c>
      <c r="E471" s="291">
        <v>132270000</v>
      </c>
      <c r="F471" s="291">
        <v>0</v>
      </c>
      <c r="G471" s="292"/>
      <c r="H471" s="88"/>
      <c r="I471" s="88"/>
      <c r="J471" s="293"/>
      <c r="K471" s="88"/>
      <c r="L471" s="88"/>
      <c r="M471" s="88"/>
      <c r="N471" s="294"/>
      <c r="O471" s="88"/>
      <c r="P471" s="88"/>
      <c r="Q471" s="88"/>
      <c r="R471" s="88"/>
      <c r="S471" s="88"/>
      <c r="T471" s="88"/>
      <c r="U471" s="88"/>
      <c r="V471" s="88"/>
      <c r="W471" s="88"/>
      <c r="X471" s="88"/>
      <c r="Y471" s="88"/>
      <c r="Z471" s="88"/>
      <c r="AA471" s="88"/>
      <c r="AB471" s="88"/>
      <c r="AC471" s="88"/>
      <c r="AD471" s="88"/>
      <c r="AE471" s="88"/>
      <c r="AF471" s="88"/>
      <c r="AG471" s="88"/>
      <c r="AH471" s="88"/>
    </row>
    <row r="472" spans="1:34" ht="69.75" customHeight="1" x14ac:dyDescent="0.25">
      <c r="A472" s="948"/>
      <c r="B472" s="733"/>
      <c r="C472" s="733"/>
      <c r="D472" s="290" t="s">
        <v>358</v>
      </c>
      <c r="E472" s="291">
        <v>30100000</v>
      </c>
      <c r="F472" s="291">
        <v>0</v>
      </c>
      <c r="G472" s="292"/>
      <c r="H472" s="88"/>
      <c r="I472" s="88"/>
      <c r="J472" s="293"/>
      <c r="K472" s="88"/>
      <c r="L472" s="88"/>
      <c r="M472" s="88"/>
      <c r="N472" s="294"/>
      <c r="O472" s="88"/>
      <c r="P472" s="88"/>
      <c r="Q472" s="88"/>
      <c r="R472" s="88"/>
      <c r="S472" s="88"/>
      <c r="T472" s="88"/>
      <c r="U472" s="88"/>
      <c r="V472" s="88"/>
      <c r="W472" s="88"/>
      <c r="X472" s="88"/>
      <c r="Y472" s="88"/>
      <c r="Z472" s="88"/>
      <c r="AA472" s="88"/>
      <c r="AB472" s="88"/>
      <c r="AC472" s="88"/>
      <c r="AD472" s="88"/>
      <c r="AE472" s="88"/>
      <c r="AF472" s="88"/>
      <c r="AG472" s="88"/>
      <c r="AH472" s="88"/>
    </row>
    <row r="473" spans="1:34" ht="69.75" customHeight="1" x14ac:dyDescent="0.25">
      <c r="A473" s="948"/>
      <c r="B473" s="965" t="s">
        <v>967</v>
      </c>
      <c r="C473" s="965" t="s">
        <v>968</v>
      </c>
      <c r="D473" s="295" t="s">
        <v>362</v>
      </c>
      <c r="E473" s="291">
        <v>70434000</v>
      </c>
      <c r="F473" s="291">
        <v>0</v>
      </c>
      <c r="G473" s="292"/>
      <c r="H473" s="88"/>
      <c r="I473" s="88"/>
      <c r="J473" s="293"/>
      <c r="K473" s="88"/>
      <c r="L473" s="88"/>
      <c r="M473" s="88"/>
      <c r="N473" s="294"/>
      <c r="O473" s="88"/>
      <c r="P473" s="88"/>
      <c r="Q473" s="88"/>
      <c r="R473" s="88"/>
      <c r="S473" s="88"/>
      <c r="T473" s="88"/>
      <c r="U473" s="88"/>
      <c r="V473" s="88"/>
      <c r="W473" s="88"/>
      <c r="X473" s="88"/>
      <c r="Y473" s="88"/>
      <c r="Z473" s="88"/>
      <c r="AA473" s="88"/>
      <c r="AB473" s="88"/>
      <c r="AC473" s="88"/>
      <c r="AD473" s="88"/>
      <c r="AE473" s="88"/>
      <c r="AF473" s="88"/>
      <c r="AG473" s="88"/>
      <c r="AH473" s="88"/>
    </row>
    <row r="474" spans="1:34" ht="69.75" customHeight="1" x14ac:dyDescent="0.25">
      <c r="A474" s="948"/>
      <c r="B474" s="694"/>
      <c r="C474" s="694"/>
      <c r="D474" s="295" t="s">
        <v>1148</v>
      </c>
      <c r="E474" s="291">
        <v>672748000</v>
      </c>
      <c r="F474" s="291">
        <v>0</v>
      </c>
      <c r="G474" s="292"/>
      <c r="H474" s="88"/>
      <c r="I474" s="88"/>
      <c r="J474" s="293"/>
      <c r="K474" s="88"/>
      <c r="L474" s="88"/>
      <c r="M474" s="88"/>
      <c r="N474" s="294"/>
      <c r="O474" s="88"/>
      <c r="P474" s="88"/>
      <c r="Q474" s="88"/>
      <c r="R474" s="88"/>
      <c r="S474" s="88"/>
      <c r="T474" s="88"/>
      <c r="U474" s="88"/>
      <c r="V474" s="88"/>
      <c r="W474" s="88"/>
      <c r="X474" s="88"/>
      <c r="Y474" s="88"/>
      <c r="Z474" s="88"/>
      <c r="AA474" s="88"/>
      <c r="AB474" s="88"/>
      <c r="AC474" s="88"/>
      <c r="AD474" s="88"/>
      <c r="AE474" s="88"/>
      <c r="AF474" s="88"/>
      <c r="AG474" s="88"/>
      <c r="AH474" s="88"/>
    </row>
    <row r="475" spans="1:34" ht="69.75" customHeight="1" x14ac:dyDescent="0.25">
      <c r="A475" s="948"/>
      <c r="B475" s="694"/>
      <c r="C475" s="694"/>
      <c r="D475" s="295" t="s">
        <v>1149</v>
      </c>
      <c r="E475" s="291">
        <v>309585000</v>
      </c>
      <c r="F475" s="291">
        <v>0</v>
      </c>
      <c r="G475" s="292"/>
      <c r="H475" s="88"/>
      <c r="I475" s="88"/>
      <c r="J475" s="293"/>
      <c r="K475" s="88"/>
      <c r="L475" s="88"/>
      <c r="M475" s="88"/>
      <c r="N475" s="294"/>
      <c r="O475" s="88"/>
      <c r="P475" s="88"/>
      <c r="Q475" s="88"/>
      <c r="R475" s="88"/>
      <c r="S475" s="88"/>
      <c r="T475" s="88"/>
      <c r="U475" s="88"/>
      <c r="V475" s="88"/>
      <c r="W475" s="88"/>
      <c r="X475" s="88"/>
      <c r="Y475" s="88"/>
      <c r="Z475" s="88"/>
      <c r="AA475" s="88"/>
      <c r="AB475" s="88"/>
      <c r="AC475" s="88"/>
      <c r="AD475" s="88"/>
      <c r="AE475" s="88"/>
      <c r="AF475" s="88"/>
      <c r="AG475" s="88"/>
      <c r="AH475" s="88"/>
    </row>
    <row r="476" spans="1:34" ht="69.75" customHeight="1" x14ac:dyDescent="0.25">
      <c r="A476" s="948"/>
      <c r="B476" s="733"/>
      <c r="C476" s="733"/>
      <c r="D476" s="295" t="s">
        <v>891</v>
      </c>
      <c r="E476" s="296">
        <v>436082000</v>
      </c>
      <c r="F476" s="291">
        <v>0</v>
      </c>
      <c r="G476" s="298"/>
      <c r="H476" s="88"/>
      <c r="I476" s="88"/>
      <c r="J476" s="293"/>
      <c r="K476" s="88"/>
      <c r="L476" s="88"/>
      <c r="M476" s="88"/>
      <c r="N476" s="294"/>
      <c r="O476" s="88"/>
      <c r="P476" s="88"/>
      <c r="Q476" s="88"/>
      <c r="R476" s="88"/>
      <c r="S476" s="88"/>
      <c r="T476" s="88"/>
      <c r="U476" s="88"/>
      <c r="V476" s="88"/>
      <c r="W476" s="88"/>
      <c r="X476" s="88"/>
      <c r="Y476" s="88"/>
      <c r="Z476" s="88"/>
      <c r="AA476" s="88"/>
      <c r="AB476" s="88"/>
      <c r="AC476" s="88"/>
      <c r="AD476" s="88"/>
      <c r="AE476" s="88"/>
      <c r="AF476" s="88"/>
      <c r="AG476" s="88"/>
      <c r="AH476" s="88"/>
    </row>
    <row r="477" spans="1:34" ht="69.75" customHeight="1" x14ac:dyDescent="0.25">
      <c r="A477" s="948"/>
      <c r="B477" s="30" t="s">
        <v>971</v>
      </c>
      <c r="C477" s="30" t="s">
        <v>972</v>
      </c>
      <c r="D477" s="295" t="s">
        <v>1150</v>
      </c>
      <c r="E477" s="291">
        <v>289724000</v>
      </c>
      <c r="F477" s="291">
        <v>0</v>
      </c>
      <c r="G477" s="292"/>
      <c r="H477" s="88"/>
      <c r="I477" s="88"/>
      <c r="J477" s="293"/>
      <c r="K477" s="88"/>
      <c r="L477" s="88"/>
      <c r="M477" s="88"/>
      <c r="N477" s="294"/>
      <c r="O477" s="88"/>
      <c r="P477" s="88"/>
      <c r="Q477" s="88"/>
      <c r="R477" s="88"/>
      <c r="S477" s="88"/>
      <c r="T477" s="88"/>
      <c r="U477" s="88"/>
      <c r="V477" s="88"/>
      <c r="W477" s="88"/>
      <c r="X477" s="88"/>
      <c r="Y477" s="88"/>
      <c r="Z477" s="88"/>
      <c r="AA477" s="88"/>
      <c r="AB477" s="88"/>
      <c r="AC477" s="88"/>
      <c r="AD477" s="88"/>
      <c r="AE477" s="88"/>
      <c r="AF477" s="88"/>
      <c r="AG477" s="88"/>
      <c r="AH477" s="88"/>
    </row>
    <row r="478" spans="1:34" ht="69.75" customHeight="1" x14ac:dyDescent="0.25">
      <c r="A478" s="953"/>
      <c r="B478" s="30" t="s">
        <v>975</v>
      </c>
      <c r="C478" s="30" t="s">
        <v>976</v>
      </c>
      <c r="D478" s="295" t="s">
        <v>381</v>
      </c>
      <c r="E478" s="291">
        <v>783556000</v>
      </c>
      <c r="F478" s="291">
        <v>0</v>
      </c>
      <c r="G478" s="292"/>
      <c r="H478" s="88"/>
      <c r="I478" s="88"/>
      <c r="J478" s="293"/>
      <c r="K478" s="88"/>
      <c r="L478" s="88"/>
      <c r="M478" s="88"/>
      <c r="N478" s="294"/>
      <c r="O478" s="88"/>
      <c r="P478" s="88"/>
      <c r="Q478" s="88"/>
      <c r="R478" s="88"/>
      <c r="S478" s="88"/>
      <c r="T478" s="88"/>
      <c r="U478" s="88"/>
      <c r="V478" s="88"/>
      <c r="W478" s="88"/>
      <c r="X478" s="88"/>
      <c r="Y478" s="88"/>
      <c r="Z478" s="88"/>
      <c r="AA478" s="88"/>
      <c r="AB478" s="88"/>
      <c r="AC478" s="88"/>
      <c r="AD478" s="88"/>
      <c r="AE478" s="88"/>
      <c r="AF478" s="88"/>
      <c r="AG478" s="88"/>
      <c r="AH478" s="88"/>
    </row>
    <row r="479" spans="1:34" ht="69.75" customHeight="1" x14ac:dyDescent="0.25">
      <c r="A479" s="952" t="s">
        <v>940</v>
      </c>
      <c r="B479" s="957" t="s">
        <v>963</v>
      </c>
      <c r="C479" s="957" t="s">
        <v>964</v>
      </c>
      <c r="D479" s="290" t="s">
        <v>344</v>
      </c>
      <c r="E479" s="291">
        <v>971277000</v>
      </c>
      <c r="F479" s="291">
        <v>5150933</v>
      </c>
      <c r="G479" s="292"/>
      <c r="H479" s="88"/>
      <c r="I479" s="88"/>
      <c r="J479" s="293"/>
      <c r="K479" s="88"/>
      <c r="L479" s="88"/>
      <c r="M479" s="88"/>
      <c r="N479" s="294"/>
      <c r="O479" s="88"/>
      <c r="P479" s="88"/>
      <c r="Q479" s="88"/>
      <c r="R479" s="88"/>
      <c r="S479" s="88"/>
      <c r="T479" s="88"/>
      <c r="U479" s="88"/>
      <c r="V479" s="88"/>
      <c r="W479" s="88"/>
      <c r="X479" s="88"/>
      <c r="Y479" s="88"/>
      <c r="Z479" s="88"/>
      <c r="AA479" s="88"/>
      <c r="AB479" s="88"/>
      <c r="AC479" s="88"/>
      <c r="AD479" s="88"/>
      <c r="AE479" s="88"/>
      <c r="AF479" s="88"/>
      <c r="AG479" s="88"/>
      <c r="AH479" s="88"/>
    </row>
    <row r="480" spans="1:34" ht="69.75" customHeight="1" x14ac:dyDescent="0.25">
      <c r="A480" s="948"/>
      <c r="B480" s="694"/>
      <c r="C480" s="694"/>
      <c r="D480" s="290" t="s">
        <v>355</v>
      </c>
      <c r="E480" s="291">
        <v>132270000</v>
      </c>
      <c r="F480" s="291">
        <v>2792367</v>
      </c>
      <c r="G480" s="292"/>
      <c r="H480" s="88"/>
      <c r="I480" s="88"/>
      <c r="J480" s="293"/>
      <c r="K480" s="88"/>
      <c r="L480" s="88"/>
      <c r="M480" s="88"/>
      <c r="N480" s="294"/>
      <c r="O480" s="88"/>
      <c r="P480" s="88"/>
      <c r="Q480" s="88"/>
      <c r="R480" s="88"/>
      <c r="S480" s="88"/>
      <c r="T480" s="88"/>
      <c r="U480" s="88"/>
      <c r="V480" s="88"/>
      <c r="W480" s="88"/>
      <c r="X480" s="88"/>
      <c r="Y480" s="88"/>
      <c r="Z480" s="88"/>
      <c r="AA480" s="88"/>
      <c r="AB480" s="88"/>
      <c r="AC480" s="88"/>
      <c r="AD480" s="88"/>
      <c r="AE480" s="88"/>
      <c r="AF480" s="88"/>
      <c r="AG480" s="88"/>
      <c r="AH480" s="88"/>
    </row>
    <row r="481" spans="1:34" ht="69.75" customHeight="1" x14ac:dyDescent="0.25">
      <c r="A481" s="948"/>
      <c r="B481" s="733"/>
      <c r="C481" s="733"/>
      <c r="D481" s="290" t="s">
        <v>358</v>
      </c>
      <c r="E481" s="291">
        <v>30100000</v>
      </c>
      <c r="F481" s="291">
        <v>0</v>
      </c>
      <c r="G481" s="292"/>
      <c r="H481" s="88"/>
      <c r="I481" s="88"/>
      <c r="J481" s="293"/>
      <c r="K481" s="88"/>
      <c r="L481" s="88"/>
      <c r="M481" s="88"/>
      <c r="N481" s="294"/>
      <c r="O481" s="88"/>
      <c r="P481" s="88"/>
      <c r="Q481" s="88"/>
      <c r="R481" s="88"/>
      <c r="S481" s="88"/>
      <c r="T481" s="88"/>
      <c r="U481" s="88"/>
      <c r="V481" s="88"/>
      <c r="W481" s="88"/>
      <c r="X481" s="88"/>
      <c r="Y481" s="88"/>
      <c r="Z481" s="88"/>
      <c r="AA481" s="88"/>
      <c r="AB481" s="88"/>
      <c r="AC481" s="88"/>
      <c r="AD481" s="88"/>
      <c r="AE481" s="88"/>
      <c r="AF481" s="88"/>
      <c r="AG481" s="88"/>
      <c r="AH481" s="88"/>
    </row>
    <row r="482" spans="1:34" ht="69.75" customHeight="1" x14ac:dyDescent="0.25">
      <c r="A482" s="948"/>
      <c r="B482" s="965" t="s">
        <v>967</v>
      </c>
      <c r="C482" s="965" t="s">
        <v>968</v>
      </c>
      <c r="D482" s="295" t="s">
        <v>362</v>
      </c>
      <c r="E482" s="291">
        <v>70434000</v>
      </c>
      <c r="F482" s="291">
        <v>2478233</v>
      </c>
      <c r="G482" s="292"/>
      <c r="H482" s="88"/>
      <c r="I482" s="88"/>
      <c r="J482" s="293"/>
      <c r="K482" s="88"/>
      <c r="L482" s="88"/>
      <c r="M482" s="88"/>
      <c r="N482" s="294"/>
      <c r="O482" s="88"/>
      <c r="P482" s="88"/>
      <c r="Q482" s="88"/>
      <c r="R482" s="88"/>
      <c r="S482" s="88"/>
      <c r="T482" s="88"/>
      <c r="U482" s="88"/>
      <c r="V482" s="88"/>
      <c r="W482" s="88"/>
      <c r="X482" s="88"/>
      <c r="Y482" s="88"/>
      <c r="Z482" s="88"/>
      <c r="AA482" s="88"/>
      <c r="AB482" s="88"/>
      <c r="AC482" s="88"/>
      <c r="AD482" s="88"/>
      <c r="AE482" s="88"/>
      <c r="AF482" s="88"/>
      <c r="AG482" s="88"/>
      <c r="AH482" s="88"/>
    </row>
    <row r="483" spans="1:34" ht="69.75" customHeight="1" x14ac:dyDescent="0.25">
      <c r="A483" s="948"/>
      <c r="B483" s="694"/>
      <c r="C483" s="694"/>
      <c r="D483" s="295" t="s">
        <v>1148</v>
      </c>
      <c r="E483" s="291">
        <v>672748000</v>
      </c>
      <c r="F483" s="291">
        <v>7337300</v>
      </c>
      <c r="G483" s="292"/>
      <c r="H483" s="88"/>
      <c r="I483" s="88"/>
      <c r="J483" s="293"/>
      <c r="K483" s="88"/>
      <c r="L483" s="88"/>
      <c r="M483" s="88"/>
      <c r="N483" s="294"/>
      <c r="O483" s="88"/>
      <c r="P483" s="88"/>
      <c r="Q483" s="88"/>
      <c r="R483" s="88"/>
      <c r="S483" s="88"/>
      <c r="T483" s="88"/>
      <c r="U483" s="88"/>
      <c r="V483" s="88"/>
      <c r="W483" s="88"/>
      <c r="X483" s="88"/>
      <c r="Y483" s="88"/>
      <c r="Z483" s="88"/>
      <c r="AA483" s="88"/>
      <c r="AB483" s="88"/>
      <c r="AC483" s="88"/>
      <c r="AD483" s="88"/>
      <c r="AE483" s="88"/>
      <c r="AF483" s="88"/>
      <c r="AG483" s="88"/>
      <c r="AH483" s="88"/>
    </row>
    <row r="484" spans="1:34" ht="69.75" customHeight="1" x14ac:dyDescent="0.25">
      <c r="A484" s="948"/>
      <c r="B484" s="694"/>
      <c r="C484" s="694"/>
      <c r="D484" s="295" t="s">
        <v>1149</v>
      </c>
      <c r="E484" s="291">
        <v>309585000</v>
      </c>
      <c r="F484" s="291">
        <v>818300</v>
      </c>
      <c r="G484" s="292"/>
      <c r="H484" s="88"/>
      <c r="I484" s="88"/>
      <c r="J484" s="293"/>
      <c r="K484" s="88"/>
      <c r="L484" s="88"/>
      <c r="M484" s="88"/>
      <c r="N484" s="294"/>
      <c r="O484" s="88"/>
      <c r="P484" s="88"/>
      <c r="Q484" s="88"/>
      <c r="R484" s="88"/>
      <c r="S484" s="88"/>
      <c r="T484" s="88"/>
      <c r="U484" s="88"/>
      <c r="V484" s="88"/>
      <c r="W484" s="88"/>
      <c r="X484" s="88"/>
      <c r="Y484" s="88"/>
      <c r="Z484" s="88"/>
      <c r="AA484" s="88"/>
      <c r="AB484" s="88"/>
      <c r="AC484" s="88"/>
      <c r="AD484" s="88"/>
      <c r="AE484" s="88"/>
      <c r="AF484" s="88"/>
      <c r="AG484" s="88"/>
      <c r="AH484" s="88"/>
    </row>
    <row r="485" spans="1:34" ht="69.75" customHeight="1" x14ac:dyDescent="0.25">
      <c r="A485" s="948"/>
      <c r="B485" s="733"/>
      <c r="C485" s="733"/>
      <c r="D485" s="295" t="s">
        <v>891</v>
      </c>
      <c r="E485" s="296">
        <v>436082000</v>
      </c>
      <c r="F485" s="291">
        <v>1169000</v>
      </c>
      <c r="G485" s="298"/>
      <c r="H485" s="88"/>
      <c r="I485" s="88"/>
      <c r="J485" s="293"/>
      <c r="K485" s="88"/>
      <c r="L485" s="88"/>
      <c r="M485" s="88"/>
      <c r="N485" s="294"/>
      <c r="O485" s="88"/>
      <c r="P485" s="88"/>
      <c r="Q485" s="88"/>
      <c r="R485" s="88"/>
      <c r="S485" s="88"/>
      <c r="T485" s="88"/>
      <c r="U485" s="88"/>
      <c r="V485" s="88"/>
      <c r="W485" s="88"/>
      <c r="X485" s="88"/>
      <c r="Y485" s="88"/>
      <c r="Z485" s="88"/>
      <c r="AA485" s="88"/>
      <c r="AB485" s="88"/>
      <c r="AC485" s="88"/>
      <c r="AD485" s="88"/>
      <c r="AE485" s="88"/>
      <c r="AF485" s="88"/>
      <c r="AG485" s="88"/>
      <c r="AH485" s="88"/>
    </row>
    <row r="486" spans="1:34" ht="69.75" customHeight="1" x14ac:dyDescent="0.25">
      <c r="A486" s="948"/>
      <c r="B486" s="30" t="s">
        <v>971</v>
      </c>
      <c r="C486" s="30" t="s">
        <v>972</v>
      </c>
      <c r="D486" s="295" t="s">
        <v>1150</v>
      </c>
      <c r="E486" s="291">
        <v>289724000</v>
      </c>
      <c r="F486" s="291">
        <v>1520633</v>
      </c>
      <c r="G486" s="292"/>
      <c r="H486" s="88"/>
      <c r="I486" s="88"/>
      <c r="J486" s="293"/>
      <c r="K486" s="88"/>
      <c r="L486" s="88"/>
      <c r="M486" s="88"/>
      <c r="N486" s="294"/>
      <c r="O486" s="88"/>
      <c r="P486" s="88"/>
      <c r="Q486" s="88"/>
      <c r="R486" s="88"/>
      <c r="S486" s="88"/>
      <c r="T486" s="88"/>
      <c r="U486" s="88"/>
      <c r="V486" s="88"/>
      <c r="W486" s="88"/>
      <c r="X486" s="88"/>
      <c r="Y486" s="88"/>
      <c r="Z486" s="88"/>
      <c r="AA486" s="88"/>
      <c r="AB486" s="88"/>
      <c r="AC486" s="88"/>
      <c r="AD486" s="88"/>
      <c r="AE486" s="88"/>
      <c r="AF486" s="88"/>
      <c r="AG486" s="88"/>
      <c r="AH486" s="88"/>
    </row>
    <row r="487" spans="1:34" ht="69.75" customHeight="1" x14ac:dyDescent="0.25">
      <c r="A487" s="953"/>
      <c r="B487" s="30" t="s">
        <v>975</v>
      </c>
      <c r="C487" s="30" t="s">
        <v>976</v>
      </c>
      <c r="D487" s="295" t="s">
        <v>381</v>
      </c>
      <c r="E487" s="291">
        <v>783556000</v>
      </c>
      <c r="F487" s="291">
        <v>0</v>
      </c>
      <c r="G487" s="292"/>
      <c r="H487" s="88"/>
      <c r="I487" s="88"/>
      <c r="J487" s="293"/>
      <c r="K487" s="88"/>
      <c r="L487" s="88"/>
      <c r="M487" s="88"/>
      <c r="N487" s="294"/>
      <c r="O487" s="88"/>
      <c r="P487" s="88"/>
      <c r="Q487" s="88"/>
      <c r="R487" s="88"/>
      <c r="S487" s="88"/>
      <c r="T487" s="88"/>
      <c r="U487" s="88"/>
      <c r="V487" s="88"/>
      <c r="W487" s="88"/>
      <c r="X487" s="88"/>
      <c r="Y487" s="88"/>
      <c r="Z487" s="88"/>
      <c r="AA487" s="88"/>
      <c r="AB487" s="88"/>
      <c r="AC487" s="88"/>
      <c r="AD487" s="88"/>
      <c r="AE487" s="88"/>
      <c r="AF487" s="88"/>
      <c r="AG487" s="88"/>
      <c r="AH487" s="88"/>
    </row>
    <row r="488" spans="1:34" ht="69.75" customHeight="1" x14ac:dyDescent="0.25">
      <c r="A488" s="952" t="s">
        <v>941</v>
      </c>
      <c r="B488" s="957" t="s">
        <v>963</v>
      </c>
      <c r="C488" s="957" t="s">
        <v>964</v>
      </c>
      <c r="D488" s="290" t="s">
        <v>344</v>
      </c>
      <c r="E488" s="291">
        <v>971277000</v>
      </c>
      <c r="F488" s="291">
        <v>59114600</v>
      </c>
      <c r="G488" s="292"/>
      <c r="H488" s="88"/>
      <c r="I488" s="88"/>
      <c r="J488" s="293"/>
      <c r="K488" s="88"/>
      <c r="L488" s="88"/>
      <c r="M488" s="88"/>
      <c r="N488" s="294"/>
      <c r="O488" s="88"/>
      <c r="P488" s="88"/>
      <c r="Q488" s="88"/>
      <c r="R488" s="88"/>
      <c r="S488" s="88"/>
      <c r="T488" s="88"/>
      <c r="U488" s="88"/>
      <c r="V488" s="88"/>
      <c r="W488" s="88"/>
      <c r="X488" s="88"/>
      <c r="Y488" s="88"/>
      <c r="Z488" s="88"/>
      <c r="AA488" s="88"/>
      <c r="AB488" s="88"/>
      <c r="AC488" s="88"/>
      <c r="AD488" s="88"/>
      <c r="AE488" s="88"/>
      <c r="AF488" s="88"/>
      <c r="AG488" s="88"/>
      <c r="AH488" s="88"/>
    </row>
    <row r="489" spans="1:34" ht="69.75" customHeight="1" x14ac:dyDescent="0.25">
      <c r="A489" s="948"/>
      <c r="B489" s="694"/>
      <c r="C489" s="694"/>
      <c r="D489" s="290" t="s">
        <v>355</v>
      </c>
      <c r="E489" s="291">
        <v>132270000</v>
      </c>
      <c r="F489" s="291">
        <v>16460267</v>
      </c>
      <c r="G489" s="292"/>
      <c r="H489" s="88"/>
      <c r="I489" s="88"/>
      <c r="J489" s="293"/>
      <c r="K489" s="88"/>
      <c r="L489" s="88"/>
      <c r="M489" s="88"/>
      <c r="N489" s="294"/>
      <c r="O489" s="88"/>
      <c r="P489" s="88"/>
      <c r="Q489" s="88"/>
      <c r="R489" s="88"/>
      <c r="S489" s="88"/>
      <c r="T489" s="88"/>
      <c r="U489" s="88"/>
      <c r="V489" s="88"/>
      <c r="W489" s="88"/>
      <c r="X489" s="88"/>
      <c r="Y489" s="88"/>
      <c r="Z489" s="88"/>
      <c r="AA489" s="88"/>
      <c r="AB489" s="88"/>
      <c r="AC489" s="88"/>
      <c r="AD489" s="88"/>
      <c r="AE489" s="88"/>
      <c r="AF489" s="88"/>
      <c r="AG489" s="88"/>
      <c r="AH489" s="88"/>
    </row>
    <row r="490" spans="1:34" ht="69.75" customHeight="1" x14ac:dyDescent="0.25">
      <c r="A490" s="948"/>
      <c r="B490" s="733"/>
      <c r="C490" s="733"/>
      <c r="D490" s="290" t="s">
        <v>358</v>
      </c>
      <c r="E490" s="291">
        <v>30100000</v>
      </c>
      <c r="F490" s="291">
        <v>3712333</v>
      </c>
      <c r="G490" s="292"/>
      <c r="H490" s="88"/>
      <c r="I490" s="88"/>
      <c r="J490" s="293"/>
      <c r="K490" s="88"/>
      <c r="L490" s="88"/>
      <c r="M490" s="88"/>
      <c r="N490" s="294"/>
      <c r="O490" s="88"/>
      <c r="P490" s="88"/>
      <c r="Q490" s="88"/>
      <c r="R490" s="88"/>
      <c r="S490" s="88"/>
      <c r="T490" s="88"/>
      <c r="U490" s="88"/>
      <c r="V490" s="88"/>
      <c r="W490" s="88"/>
      <c r="X490" s="88"/>
      <c r="Y490" s="88"/>
      <c r="Z490" s="88"/>
      <c r="AA490" s="88"/>
      <c r="AB490" s="88"/>
      <c r="AC490" s="88"/>
      <c r="AD490" s="88"/>
      <c r="AE490" s="88"/>
      <c r="AF490" s="88"/>
      <c r="AG490" s="88"/>
      <c r="AH490" s="88"/>
    </row>
    <row r="491" spans="1:34" ht="69.75" customHeight="1" x14ac:dyDescent="0.25">
      <c r="A491" s="948"/>
      <c r="B491" s="965" t="s">
        <v>967</v>
      </c>
      <c r="C491" s="965" t="s">
        <v>968</v>
      </c>
      <c r="D491" s="295" t="s">
        <v>362</v>
      </c>
      <c r="E491" s="291">
        <v>70434000</v>
      </c>
      <c r="F491" s="291">
        <v>12912900</v>
      </c>
      <c r="G491" s="292"/>
      <c r="H491" s="88"/>
      <c r="I491" s="88"/>
      <c r="J491" s="293"/>
      <c r="K491" s="88"/>
      <c r="L491" s="88"/>
      <c r="M491" s="88"/>
      <c r="N491" s="294"/>
      <c r="O491" s="88"/>
      <c r="P491" s="88"/>
      <c r="Q491" s="88"/>
      <c r="R491" s="88"/>
      <c r="S491" s="88"/>
      <c r="T491" s="88"/>
      <c r="U491" s="88"/>
      <c r="V491" s="88"/>
      <c r="W491" s="88"/>
      <c r="X491" s="88"/>
      <c r="Y491" s="88"/>
      <c r="Z491" s="88"/>
      <c r="AA491" s="88"/>
      <c r="AB491" s="88"/>
      <c r="AC491" s="88"/>
      <c r="AD491" s="88"/>
      <c r="AE491" s="88"/>
      <c r="AF491" s="88"/>
      <c r="AG491" s="88"/>
      <c r="AH491" s="88"/>
    </row>
    <row r="492" spans="1:34" ht="69.75" customHeight="1" x14ac:dyDescent="0.25">
      <c r="A492" s="948"/>
      <c r="B492" s="694"/>
      <c r="C492" s="694"/>
      <c r="D492" s="295" t="s">
        <v>1148</v>
      </c>
      <c r="E492" s="291">
        <v>672748000</v>
      </c>
      <c r="F492" s="291">
        <v>68435501</v>
      </c>
      <c r="G492" s="292"/>
      <c r="H492" s="88"/>
      <c r="I492" s="88"/>
      <c r="J492" s="293"/>
      <c r="K492" s="88"/>
      <c r="L492" s="88"/>
      <c r="M492" s="88"/>
      <c r="N492" s="294"/>
      <c r="O492" s="88"/>
      <c r="P492" s="88"/>
      <c r="Q492" s="88"/>
      <c r="R492" s="88"/>
      <c r="S492" s="88"/>
      <c r="T492" s="88"/>
      <c r="U492" s="88"/>
      <c r="V492" s="88"/>
      <c r="W492" s="88"/>
      <c r="X492" s="88"/>
      <c r="Y492" s="88"/>
      <c r="Z492" s="88"/>
      <c r="AA492" s="88"/>
      <c r="AB492" s="88"/>
      <c r="AC492" s="88"/>
      <c r="AD492" s="88"/>
      <c r="AE492" s="88"/>
      <c r="AF492" s="88"/>
      <c r="AG492" s="88"/>
      <c r="AH492" s="88"/>
    </row>
    <row r="493" spans="1:34" ht="69.75" customHeight="1" x14ac:dyDescent="0.25">
      <c r="A493" s="948"/>
      <c r="B493" s="694"/>
      <c r="C493" s="694"/>
      <c r="D493" s="295" t="s">
        <v>1149</v>
      </c>
      <c r="E493" s="291">
        <v>309585000</v>
      </c>
      <c r="F493" s="291">
        <v>31224233</v>
      </c>
      <c r="G493" s="292"/>
      <c r="H493" s="88"/>
      <c r="I493" s="88"/>
      <c r="J493" s="293"/>
      <c r="K493" s="88"/>
      <c r="L493" s="88"/>
      <c r="M493" s="88"/>
      <c r="N493" s="294"/>
      <c r="O493" s="88"/>
      <c r="P493" s="88"/>
      <c r="Q493" s="88"/>
      <c r="R493" s="88"/>
      <c r="S493" s="88"/>
      <c r="T493" s="88"/>
      <c r="U493" s="88"/>
      <c r="V493" s="88"/>
      <c r="W493" s="88"/>
      <c r="X493" s="88"/>
      <c r="Y493" s="88"/>
      <c r="Z493" s="88"/>
      <c r="AA493" s="88"/>
      <c r="AB493" s="88"/>
      <c r="AC493" s="88"/>
      <c r="AD493" s="88"/>
      <c r="AE493" s="88"/>
      <c r="AF493" s="88"/>
      <c r="AG493" s="88"/>
      <c r="AH493" s="88"/>
    </row>
    <row r="494" spans="1:34" ht="69.75" customHeight="1" x14ac:dyDescent="0.25">
      <c r="A494" s="948"/>
      <c r="B494" s="733"/>
      <c r="C494" s="733"/>
      <c r="D494" s="295" t="s">
        <v>891</v>
      </c>
      <c r="E494" s="296">
        <v>436082000</v>
      </c>
      <c r="F494" s="291">
        <v>43949134</v>
      </c>
      <c r="G494" s="298"/>
      <c r="H494" s="88"/>
      <c r="I494" s="88"/>
      <c r="J494" s="293"/>
      <c r="K494" s="88"/>
      <c r="L494" s="88"/>
      <c r="M494" s="88"/>
      <c r="N494" s="294"/>
      <c r="O494" s="88"/>
      <c r="P494" s="88"/>
      <c r="Q494" s="88"/>
      <c r="R494" s="88"/>
      <c r="S494" s="88"/>
      <c r="T494" s="88"/>
      <c r="U494" s="88"/>
      <c r="V494" s="88"/>
      <c r="W494" s="88"/>
      <c r="X494" s="88"/>
      <c r="Y494" s="88"/>
      <c r="Z494" s="88"/>
      <c r="AA494" s="88"/>
      <c r="AB494" s="88"/>
      <c r="AC494" s="88"/>
      <c r="AD494" s="88"/>
      <c r="AE494" s="88"/>
      <c r="AF494" s="88"/>
      <c r="AG494" s="88"/>
      <c r="AH494" s="88"/>
    </row>
    <row r="495" spans="1:34" ht="69.75" customHeight="1" x14ac:dyDescent="0.25">
      <c r="A495" s="948"/>
      <c r="B495" s="30" t="s">
        <v>971</v>
      </c>
      <c r="C495" s="30" t="s">
        <v>972</v>
      </c>
      <c r="D495" s="295" t="s">
        <v>1150</v>
      </c>
      <c r="E495" s="291">
        <v>289724000</v>
      </c>
      <c r="F495" s="291">
        <v>31614966</v>
      </c>
      <c r="G495" s="292"/>
      <c r="H495" s="88"/>
      <c r="I495" s="88"/>
      <c r="J495" s="293"/>
      <c r="K495" s="88"/>
      <c r="L495" s="88"/>
      <c r="M495" s="88"/>
      <c r="N495" s="294"/>
      <c r="O495" s="88"/>
      <c r="P495" s="88"/>
      <c r="Q495" s="88"/>
      <c r="R495" s="88"/>
      <c r="S495" s="88"/>
      <c r="T495" s="88"/>
      <c r="U495" s="88"/>
      <c r="V495" s="88"/>
      <c r="W495" s="88"/>
      <c r="X495" s="88"/>
      <c r="Y495" s="88"/>
      <c r="Z495" s="88"/>
      <c r="AA495" s="88"/>
      <c r="AB495" s="88"/>
      <c r="AC495" s="88"/>
      <c r="AD495" s="88"/>
      <c r="AE495" s="88"/>
      <c r="AF495" s="88"/>
      <c r="AG495" s="88"/>
      <c r="AH495" s="88"/>
    </row>
    <row r="496" spans="1:34" ht="69.75" customHeight="1" x14ac:dyDescent="0.25">
      <c r="A496" s="953"/>
      <c r="B496" s="30" t="s">
        <v>975</v>
      </c>
      <c r="C496" s="30" t="s">
        <v>976</v>
      </c>
      <c r="D496" s="295" t="s">
        <v>381</v>
      </c>
      <c r="E496" s="291">
        <v>783556000</v>
      </c>
      <c r="F496" s="291">
        <v>38922800</v>
      </c>
      <c r="G496" s="292"/>
      <c r="H496" s="88"/>
      <c r="I496" s="88"/>
      <c r="J496" s="293"/>
      <c r="K496" s="88"/>
      <c r="L496" s="88"/>
      <c r="M496" s="88"/>
      <c r="N496" s="294"/>
      <c r="O496" s="88"/>
      <c r="P496" s="88"/>
      <c r="Q496" s="88"/>
      <c r="R496" s="88"/>
      <c r="S496" s="88"/>
      <c r="T496" s="88"/>
      <c r="U496" s="88"/>
      <c r="V496" s="88"/>
      <c r="W496" s="88"/>
      <c r="X496" s="88"/>
      <c r="Y496" s="88"/>
      <c r="Z496" s="88"/>
      <c r="AA496" s="88"/>
      <c r="AB496" s="88"/>
      <c r="AC496" s="88"/>
      <c r="AD496" s="88"/>
      <c r="AE496" s="88"/>
      <c r="AF496" s="88"/>
      <c r="AG496" s="88"/>
      <c r="AH496" s="88"/>
    </row>
    <row r="497" spans="1:34" ht="69.75" customHeight="1" x14ac:dyDescent="0.25">
      <c r="A497" s="952" t="s">
        <v>942</v>
      </c>
      <c r="B497" s="957" t="s">
        <v>963</v>
      </c>
      <c r="C497" s="957" t="s">
        <v>964</v>
      </c>
      <c r="D497" s="290" t="s">
        <v>344</v>
      </c>
      <c r="E497" s="291">
        <v>970441800</v>
      </c>
      <c r="F497" s="299">
        <v>129872433</v>
      </c>
      <c r="G497" s="292"/>
      <c r="H497" s="88"/>
      <c r="I497" s="88"/>
      <c r="J497" s="293"/>
      <c r="K497" s="88"/>
      <c r="L497" s="88"/>
      <c r="M497" s="88"/>
      <c r="N497" s="294"/>
      <c r="O497" s="88"/>
      <c r="P497" s="88"/>
      <c r="Q497" s="88"/>
      <c r="R497" s="88"/>
      <c r="S497" s="88"/>
      <c r="T497" s="88"/>
      <c r="U497" s="88"/>
      <c r="V497" s="88"/>
      <c r="W497" s="88"/>
      <c r="X497" s="88"/>
      <c r="Y497" s="88"/>
      <c r="Z497" s="88"/>
      <c r="AA497" s="88"/>
      <c r="AB497" s="88"/>
      <c r="AC497" s="88"/>
      <c r="AD497" s="88"/>
      <c r="AE497" s="88"/>
      <c r="AF497" s="88"/>
      <c r="AG497" s="88"/>
      <c r="AH497" s="88"/>
    </row>
    <row r="498" spans="1:34" ht="69.75" customHeight="1" x14ac:dyDescent="0.25">
      <c r="A498" s="948"/>
      <c r="B498" s="694"/>
      <c r="C498" s="694"/>
      <c r="D498" s="290" t="s">
        <v>355</v>
      </c>
      <c r="E498" s="291">
        <v>132270000</v>
      </c>
      <c r="F498" s="299">
        <v>29687267</v>
      </c>
      <c r="G498" s="292"/>
      <c r="H498" s="88"/>
      <c r="I498" s="88"/>
      <c r="J498" s="293"/>
      <c r="K498" s="88"/>
      <c r="L498" s="88"/>
      <c r="M498" s="88"/>
      <c r="N498" s="294"/>
      <c r="O498" s="88"/>
      <c r="P498" s="88"/>
      <c r="Q498" s="88"/>
      <c r="R498" s="88"/>
      <c r="S498" s="88"/>
      <c r="T498" s="88"/>
      <c r="U498" s="88"/>
      <c r="V498" s="88"/>
      <c r="W498" s="88"/>
      <c r="X498" s="88"/>
      <c r="Y498" s="88"/>
      <c r="Z498" s="88"/>
      <c r="AA498" s="88"/>
      <c r="AB498" s="88"/>
      <c r="AC498" s="88"/>
      <c r="AD498" s="88"/>
      <c r="AE498" s="88"/>
      <c r="AF498" s="88"/>
      <c r="AG498" s="88"/>
      <c r="AH498" s="88"/>
    </row>
    <row r="499" spans="1:34" ht="69.75" customHeight="1" x14ac:dyDescent="0.25">
      <c r="A499" s="948"/>
      <c r="B499" s="733"/>
      <c r="C499" s="733"/>
      <c r="D499" s="290" t="s">
        <v>358</v>
      </c>
      <c r="E499" s="291">
        <v>30935200</v>
      </c>
      <c r="F499" s="299">
        <v>6722333</v>
      </c>
      <c r="G499" s="292"/>
      <c r="H499" s="88"/>
      <c r="I499" s="88"/>
      <c r="J499" s="293"/>
      <c r="K499" s="88"/>
      <c r="L499" s="88"/>
      <c r="M499" s="88"/>
      <c r="N499" s="294"/>
      <c r="O499" s="88"/>
      <c r="P499" s="88"/>
      <c r="Q499" s="88"/>
      <c r="R499" s="88"/>
      <c r="S499" s="88"/>
      <c r="T499" s="88"/>
      <c r="U499" s="88"/>
      <c r="V499" s="88"/>
      <c r="W499" s="88"/>
      <c r="X499" s="88"/>
      <c r="Y499" s="88"/>
      <c r="Z499" s="88"/>
      <c r="AA499" s="88"/>
      <c r="AB499" s="88"/>
      <c r="AC499" s="88"/>
      <c r="AD499" s="88"/>
      <c r="AE499" s="88"/>
      <c r="AF499" s="88"/>
      <c r="AG499" s="88"/>
      <c r="AH499" s="88"/>
    </row>
    <row r="500" spans="1:34" ht="69.75" customHeight="1" x14ac:dyDescent="0.25">
      <c r="A500" s="948"/>
      <c r="B500" s="965" t="s">
        <v>967</v>
      </c>
      <c r="C500" s="965" t="s">
        <v>968</v>
      </c>
      <c r="D500" s="295" t="s">
        <v>362</v>
      </c>
      <c r="E500" s="291">
        <v>70434000</v>
      </c>
      <c r="F500" s="299">
        <v>20738900</v>
      </c>
      <c r="G500" s="292"/>
      <c r="H500" s="88"/>
      <c r="I500" s="88"/>
      <c r="J500" s="293"/>
      <c r="K500" s="88"/>
      <c r="L500" s="88"/>
      <c r="M500" s="88"/>
      <c r="N500" s="294"/>
      <c r="O500" s="88"/>
      <c r="P500" s="88"/>
      <c r="Q500" s="88"/>
      <c r="R500" s="88"/>
      <c r="S500" s="88"/>
      <c r="T500" s="88"/>
      <c r="U500" s="88"/>
      <c r="V500" s="88"/>
      <c r="W500" s="88"/>
      <c r="X500" s="88"/>
      <c r="Y500" s="88"/>
      <c r="Z500" s="88"/>
      <c r="AA500" s="88"/>
      <c r="AB500" s="88"/>
      <c r="AC500" s="88"/>
      <c r="AD500" s="88"/>
      <c r="AE500" s="88"/>
      <c r="AF500" s="88"/>
      <c r="AG500" s="88"/>
      <c r="AH500" s="88"/>
    </row>
    <row r="501" spans="1:34" ht="69.75" customHeight="1" x14ac:dyDescent="0.25">
      <c r="A501" s="948"/>
      <c r="B501" s="694"/>
      <c r="C501" s="694"/>
      <c r="D501" s="295" t="s">
        <v>1148</v>
      </c>
      <c r="E501" s="291">
        <v>672748000</v>
      </c>
      <c r="F501" s="299">
        <v>127101501</v>
      </c>
      <c r="G501" s="292"/>
      <c r="H501" s="88"/>
      <c r="I501" s="88"/>
      <c r="J501" s="293"/>
      <c r="K501" s="88"/>
      <c r="L501" s="88"/>
      <c r="M501" s="88"/>
      <c r="N501" s="294"/>
      <c r="O501" s="88"/>
      <c r="P501" s="88"/>
      <c r="Q501" s="88"/>
      <c r="R501" s="88"/>
      <c r="S501" s="88"/>
      <c r="T501" s="88"/>
      <c r="U501" s="88"/>
      <c r="V501" s="88"/>
      <c r="W501" s="88"/>
      <c r="X501" s="88"/>
      <c r="Y501" s="88"/>
      <c r="Z501" s="88"/>
      <c r="AA501" s="88"/>
      <c r="AB501" s="88"/>
      <c r="AC501" s="88"/>
      <c r="AD501" s="88"/>
      <c r="AE501" s="88"/>
      <c r="AF501" s="88"/>
      <c r="AG501" s="88"/>
      <c r="AH501" s="88"/>
    </row>
    <row r="502" spans="1:34" ht="69.75" customHeight="1" x14ac:dyDescent="0.25">
      <c r="A502" s="948"/>
      <c r="B502" s="694"/>
      <c r="C502" s="694"/>
      <c r="D502" s="295" t="s">
        <v>1149</v>
      </c>
      <c r="E502" s="291">
        <v>309585000</v>
      </c>
      <c r="F502" s="299">
        <v>62826233</v>
      </c>
      <c r="G502" s="292"/>
      <c r="H502" s="88"/>
      <c r="I502" s="88"/>
      <c r="J502" s="293"/>
      <c r="K502" s="88"/>
      <c r="L502" s="88"/>
      <c r="M502" s="88"/>
      <c r="N502" s="294"/>
      <c r="O502" s="88"/>
      <c r="P502" s="88"/>
      <c r="Q502" s="88"/>
      <c r="R502" s="88"/>
      <c r="S502" s="88"/>
      <c r="T502" s="88"/>
      <c r="U502" s="88"/>
      <c r="V502" s="88"/>
      <c r="W502" s="88"/>
      <c r="X502" s="88"/>
      <c r="Y502" s="88"/>
      <c r="Z502" s="88"/>
      <c r="AA502" s="88"/>
      <c r="AB502" s="88"/>
      <c r="AC502" s="88"/>
      <c r="AD502" s="88"/>
      <c r="AE502" s="88"/>
      <c r="AF502" s="88"/>
      <c r="AG502" s="88"/>
      <c r="AH502" s="88"/>
    </row>
    <row r="503" spans="1:34" ht="69.75" customHeight="1" x14ac:dyDescent="0.25">
      <c r="A503" s="948"/>
      <c r="B503" s="733"/>
      <c r="C503" s="733"/>
      <c r="D503" s="295" t="s">
        <v>891</v>
      </c>
      <c r="E503" s="296">
        <v>436082000</v>
      </c>
      <c r="F503" s="299">
        <v>88439134</v>
      </c>
      <c r="G503" s="298"/>
      <c r="H503" s="88"/>
      <c r="I503" s="88"/>
      <c r="J503" s="293"/>
      <c r="K503" s="88"/>
      <c r="L503" s="88"/>
      <c r="M503" s="88"/>
      <c r="N503" s="294"/>
      <c r="O503" s="88"/>
      <c r="P503" s="88"/>
      <c r="Q503" s="88"/>
      <c r="R503" s="88"/>
      <c r="S503" s="88"/>
      <c r="T503" s="88"/>
      <c r="U503" s="88"/>
      <c r="V503" s="88"/>
      <c r="W503" s="88"/>
      <c r="X503" s="88"/>
      <c r="Y503" s="88"/>
      <c r="Z503" s="88"/>
      <c r="AA503" s="88"/>
      <c r="AB503" s="88"/>
      <c r="AC503" s="88"/>
      <c r="AD503" s="88"/>
      <c r="AE503" s="88"/>
      <c r="AF503" s="88"/>
      <c r="AG503" s="88"/>
      <c r="AH503" s="88"/>
    </row>
    <row r="504" spans="1:34" ht="69.75" customHeight="1" x14ac:dyDescent="0.25">
      <c r="A504" s="948"/>
      <c r="B504" s="30" t="s">
        <v>971</v>
      </c>
      <c r="C504" s="30" t="s">
        <v>972</v>
      </c>
      <c r="D504" s="295" t="s">
        <v>1150</v>
      </c>
      <c r="E504" s="291">
        <v>289724000</v>
      </c>
      <c r="F504" s="299">
        <v>59017966</v>
      </c>
      <c r="G504" s="292"/>
      <c r="H504" s="88"/>
      <c r="I504" s="88"/>
      <c r="J504" s="293"/>
      <c r="K504" s="88"/>
      <c r="L504" s="88"/>
      <c r="M504" s="88"/>
      <c r="N504" s="294"/>
      <c r="O504" s="88"/>
      <c r="P504" s="88"/>
      <c r="Q504" s="88"/>
      <c r="R504" s="88"/>
      <c r="S504" s="88"/>
      <c r="T504" s="88"/>
      <c r="U504" s="88"/>
      <c r="V504" s="88"/>
      <c r="W504" s="88"/>
      <c r="X504" s="88"/>
      <c r="Y504" s="88"/>
      <c r="Z504" s="88"/>
      <c r="AA504" s="88"/>
      <c r="AB504" s="88"/>
      <c r="AC504" s="88"/>
      <c r="AD504" s="88"/>
      <c r="AE504" s="88"/>
      <c r="AF504" s="88"/>
      <c r="AG504" s="88"/>
      <c r="AH504" s="88"/>
    </row>
    <row r="505" spans="1:34" ht="69.75" customHeight="1" x14ac:dyDescent="0.25">
      <c r="A505" s="953"/>
      <c r="B505" s="30" t="s">
        <v>975</v>
      </c>
      <c r="C505" s="30" t="s">
        <v>976</v>
      </c>
      <c r="D505" s="295" t="s">
        <v>381</v>
      </c>
      <c r="E505" s="291">
        <v>783556000</v>
      </c>
      <c r="F505" s="299">
        <v>78019800</v>
      </c>
      <c r="G505" s="292"/>
      <c r="H505" s="88"/>
      <c r="I505" s="88"/>
      <c r="J505" s="293"/>
      <c r="K505" s="88"/>
      <c r="L505" s="88"/>
      <c r="M505" s="88"/>
      <c r="N505" s="294"/>
      <c r="O505" s="88"/>
      <c r="P505" s="88"/>
      <c r="Q505" s="88"/>
      <c r="R505" s="88"/>
      <c r="S505" s="88"/>
      <c r="T505" s="88"/>
      <c r="U505" s="88"/>
      <c r="V505" s="88"/>
      <c r="W505" s="88"/>
      <c r="X505" s="88"/>
      <c r="Y505" s="88"/>
      <c r="Z505" s="88"/>
      <c r="AA505" s="88"/>
      <c r="AB505" s="88"/>
      <c r="AC505" s="88"/>
      <c r="AD505" s="88"/>
      <c r="AE505" s="88"/>
      <c r="AF505" s="88"/>
      <c r="AG505" s="88"/>
      <c r="AH505" s="88"/>
    </row>
    <row r="506" spans="1:34" ht="69.75" customHeight="1" x14ac:dyDescent="0.25">
      <c r="A506" s="952" t="s">
        <v>943</v>
      </c>
      <c r="B506" s="957" t="s">
        <v>963</v>
      </c>
      <c r="C506" s="957" t="s">
        <v>964</v>
      </c>
      <c r="D506" s="290" t="s">
        <v>344</v>
      </c>
      <c r="E506" s="291">
        <v>970441800</v>
      </c>
      <c r="F506" s="299">
        <v>235610433</v>
      </c>
      <c r="G506" s="292"/>
      <c r="H506" s="88"/>
      <c r="I506" s="88"/>
      <c r="J506" s="293"/>
      <c r="K506" s="88"/>
      <c r="L506" s="88"/>
      <c r="M506" s="88"/>
      <c r="N506" s="294"/>
      <c r="O506" s="88"/>
      <c r="P506" s="88"/>
      <c r="Q506" s="88"/>
      <c r="R506" s="88"/>
      <c r="S506" s="88"/>
      <c r="T506" s="88"/>
      <c r="U506" s="88"/>
      <c r="V506" s="88"/>
      <c r="W506" s="88"/>
      <c r="X506" s="88"/>
      <c r="Y506" s="88"/>
      <c r="Z506" s="88"/>
      <c r="AA506" s="88"/>
      <c r="AB506" s="88"/>
      <c r="AC506" s="88"/>
      <c r="AD506" s="88"/>
      <c r="AE506" s="88"/>
      <c r="AF506" s="88"/>
      <c r="AG506" s="88"/>
      <c r="AH506" s="88"/>
    </row>
    <row r="507" spans="1:34" ht="69.75" customHeight="1" x14ac:dyDescent="0.25">
      <c r="A507" s="948"/>
      <c r="B507" s="694"/>
      <c r="C507" s="694"/>
      <c r="D507" s="290" t="s">
        <v>355</v>
      </c>
      <c r="E507" s="291">
        <v>132270000</v>
      </c>
      <c r="F507" s="299">
        <v>42914267</v>
      </c>
      <c r="G507" s="292"/>
      <c r="H507" s="88"/>
      <c r="I507" s="88"/>
      <c r="J507" s="293"/>
      <c r="K507" s="88"/>
      <c r="L507" s="88"/>
      <c r="M507" s="88"/>
      <c r="N507" s="294"/>
      <c r="O507" s="88"/>
      <c r="P507" s="88"/>
      <c r="Q507" s="88"/>
      <c r="R507" s="88"/>
      <c r="S507" s="88"/>
      <c r="T507" s="88"/>
      <c r="U507" s="88"/>
      <c r="V507" s="88"/>
      <c r="W507" s="88"/>
      <c r="X507" s="88"/>
      <c r="Y507" s="88"/>
      <c r="Z507" s="88"/>
      <c r="AA507" s="88"/>
      <c r="AB507" s="88"/>
      <c r="AC507" s="88"/>
      <c r="AD507" s="88"/>
      <c r="AE507" s="88"/>
      <c r="AF507" s="88"/>
      <c r="AG507" s="88"/>
      <c r="AH507" s="88"/>
    </row>
    <row r="508" spans="1:34" ht="69.75" customHeight="1" x14ac:dyDescent="0.25">
      <c r="A508" s="948"/>
      <c r="B508" s="733"/>
      <c r="C508" s="733"/>
      <c r="D508" s="290" t="s">
        <v>358</v>
      </c>
      <c r="E508" s="291">
        <v>30935200</v>
      </c>
      <c r="F508" s="299">
        <v>9732333</v>
      </c>
      <c r="G508" s="292"/>
      <c r="H508" s="88"/>
      <c r="I508" s="88"/>
      <c r="J508" s="293"/>
      <c r="K508" s="88"/>
      <c r="L508" s="88"/>
      <c r="M508" s="88"/>
      <c r="N508" s="294"/>
      <c r="O508" s="88"/>
      <c r="P508" s="88"/>
      <c r="Q508" s="88"/>
      <c r="R508" s="88"/>
      <c r="S508" s="88"/>
      <c r="T508" s="88"/>
      <c r="U508" s="88"/>
      <c r="V508" s="88"/>
      <c r="W508" s="88"/>
      <c r="X508" s="88"/>
      <c r="Y508" s="88"/>
      <c r="Z508" s="88"/>
      <c r="AA508" s="88"/>
      <c r="AB508" s="88"/>
      <c r="AC508" s="88"/>
      <c r="AD508" s="88"/>
      <c r="AE508" s="88"/>
      <c r="AF508" s="88"/>
      <c r="AG508" s="88"/>
      <c r="AH508" s="88"/>
    </row>
    <row r="509" spans="1:34" ht="69.75" customHeight="1" x14ac:dyDescent="0.25">
      <c r="A509" s="948"/>
      <c r="B509" s="965" t="s">
        <v>967</v>
      </c>
      <c r="C509" s="965" t="s">
        <v>968</v>
      </c>
      <c r="D509" s="295" t="s">
        <v>362</v>
      </c>
      <c r="E509" s="291">
        <v>70434000</v>
      </c>
      <c r="F509" s="299">
        <v>28564900</v>
      </c>
      <c r="G509" s="292"/>
      <c r="H509" s="88"/>
      <c r="I509" s="88"/>
      <c r="J509" s="293"/>
      <c r="K509" s="88"/>
      <c r="L509" s="88"/>
      <c r="M509" s="88"/>
      <c r="N509" s="294"/>
      <c r="O509" s="88"/>
      <c r="P509" s="88"/>
      <c r="Q509" s="88"/>
      <c r="R509" s="88"/>
      <c r="S509" s="88"/>
      <c r="T509" s="88"/>
      <c r="U509" s="88"/>
      <c r="V509" s="88"/>
      <c r="W509" s="88"/>
      <c r="X509" s="88"/>
      <c r="Y509" s="88"/>
      <c r="Z509" s="88"/>
      <c r="AA509" s="88"/>
      <c r="AB509" s="88"/>
      <c r="AC509" s="88"/>
      <c r="AD509" s="88"/>
      <c r="AE509" s="88"/>
      <c r="AF509" s="88"/>
      <c r="AG509" s="88"/>
      <c r="AH509" s="88"/>
    </row>
    <row r="510" spans="1:34" ht="69.75" customHeight="1" x14ac:dyDescent="0.25">
      <c r="A510" s="948"/>
      <c r="B510" s="694"/>
      <c r="C510" s="694"/>
      <c r="D510" s="295" t="s">
        <v>1148</v>
      </c>
      <c r="E510" s="291">
        <v>672748000</v>
      </c>
      <c r="F510" s="299">
        <v>185767501</v>
      </c>
      <c r="G510" s="292"/>
      <c r="H510" s="88"/>
      <c r="I510" s="88"/>
      <c r="J510" s="293"/>
      <c r="K510" s="88"/>
      <c r="L510" s="88"/>
      <c r="M510" s="88"/>
      <c r="N510" s="294"/>
      <c r="O510" s="88"/>
      <c r="P510" s="88"/>
      <c r="Q510" s="88"/>
      <c r="R510" s="88"/>
      <c r="S510" s="88"/>
      <c r="T510" s="88"/>
      <c r="U510" s="88"/>
      <c r="V510" s="88"/>
      <c r="W510" s="88"/>
      <c r="X510" s="88"/>
      <c r="Y510" s="88"/>
      <c r="Z510" s="88"/>
      <c r="AA510" s="88"/>
      <c r="AB510" s="88"/>
      <c r="AC510" s="88"/>
      <c r="AD510" s="88"/>
      <c r="AE510" s="88"/>
      <c r="AF510" s="88"/>
      <c r="AG510" s="88"/>
      <c r="AH510" s="88"/>
    </row>
    <row r="511" spans="1:34" ht="69.75" customHeight="1" x14ac:dyDescent="0.25">
      <c r="A511" s="948"/>
      <c r="B511" s="694"/>
      <c r="C511" s="694"/>
      <c r="D511" s="295" t="s">
        <v>1149</v>
      </c>
      <c r="E511" s="291">
        <v>309585000</v>
      </c>
      <c r="F511" s="299">
        <v>94428233</v>
      </c>
      <c r="G511" s="292"/>
      <c r="H511" s="88"/>
      <c r="I511" s="88"/>
      <c r="J511" s="293"/>
      <c r="K511" s="88"/>
      <c r="L511" s="88"/>
      <c r="M511" s="88"/>
      <c r="N511" s="294"/>
      <c r="O511" s="88"/>
      <c r="P511" s="88"/>
      <c r="Q511" s="88"/>
      <c r="R511" s="88"/>
      <c r="S511" s="88"/>
      <c r="T511" s="88"/>
      <c r="U511" s="88"/>
      <c r="V511" s="88"/>
      <c r="W511" s="88"/>
      <c r="X511" s="88"/>
      <c r="Y511" s="88"/>
      <c r="Z511" s="88"/>
      <c r="AA511" s="88"/>
      <c r="AB511" s="88"/>
      <c r="AC511" s="88"/>
      <c r="AD511" s="88"/>
      <c r="AE511" s="88"/>
      <c r="AF511" s="88"/>
      <c r="AG511" s="88"/>
      <c r="AH511" s="88"/>
    </row>
    <row r="512" spans="1:34" ht="69.75" customHeight="1" x14ac:dyDescent="0.25">
      <c r="A512" s="948"/>
      <c r="B512" s="733"/>
      <c r="C512" s="733"/>
      <c r="D512" s="295" t="s">
        <v>891</v>
      </c>
      <c r="E512" s="296">
        <v>436082000</v>
      </c>
      <c r="F512" s="299">
        <v>132929134</v>
      </c>
      <c r="G512" s="298"/>
      <c r="H512" s="88"/>
      <c r="I512" s="88"/>
      <c r="J512" s="293"/>
      <c r="K512" s="88"/>
      <c r="L512" s="88"/>
      <c r="M512" s="88"/>
      <c r="N512" s="294"/>
      <c r="O512" s="88"/>
      <c r="P512" s="88"/>
      <c r="Q512" s="88"/>
      <c r="R512" s="88"/>
      <c r="S512" s="88"/>
      <c r="T512" s="88"/>
      <c r="U512" s="88"/>
      <c r="V512" s="88"/>
      <c r="W512" s="88"/>
      <c r="X512" s="88"/>
      <c r="Y512" s="88"/>
      <c r="Z512" s="88"/>
      <c r="AA512" s="88"/>
      <c r="AB512" s="88"/>
      <c r="AC512" s="88"/>
      <c r="AD512" s="88"/>
      <c r="AE512" s="88"/>
      <c r="AF512" s="88"/>
      <c r="AG512" s="88"/>
      <c r="AH512" s="88"/>
    </row>
    <row r="513" spans="1:34" ht="69.75" customHeight="1" x14ac:dyDescent="0.25">
      <c r="A513" s="948"/>
      <c r="B513" s="30" t="s">
        <v>971</v>
      </c>
      <c r="C513" s="30" t="s">
        <v>972</v>
      </c>
      <c r="D513" s="295" t="s">
        <v>1150</v>
      </c>
      <c r="E513" s="291">
        <v>289724000</v>
      </c>
      <c r="F513" s="299">
        <v>93434966</v>
      </c>
      <c r="G513" s="292"/>
      <c r="H513" s="88"/>
      <c r="I513" s="88"/>
      <c r="J513" s="293"/>
      <c r="K513" s="88"/>
      <c r="L513" s="88"/>
      <c r="M513" s="88"/>
      <c r="N513" s="294"/>
      <c r="O513" s="88"/>
      <c r="P513" s="88"/>
      <c r="Q513" s="88"/>
      <c r="R513" s="88"/>
      <c r="S513" s="88"/>
      <c r="T513" s="88"/>
      <c r="U513" s="88"/>
      <c r="V513" s="88"/>
      <c r="W513" s="88"/>
      <c r="X513" s="88"/>
      <c r="Y513" s="88"/>
      <c r="Z513" s="88"/>
      <c r="AA513" s="88"/>
      <c r="AB513" s="88"/>
      <c r="AC513" s="88"/>
      <c r="AD513" s="88"/>
      <c r="AE513" s="88"/>
      <c r="AF513" s="88"/>
      <c r="AG513" s="88"/>
      <c r="AH513" s="88"/>
    </row>
    <row r="514" spans="1:34" ht="69.75" customHeight="1" x14ac:dyDescent="0.25">
      <c r="A514" s="953"/>
      <c r="B514" s="30" t="s">
        <v>975</v>
      </c>
      <c r="C514" s="30" t="s">
        <v>976</v>
      </c>
      <c r="D514" s="295" t="s">
        <v>381</v>
      </c>
      <c r="E514" s="291">
        <v>783556000</v>
      </c>
      <c r="F514" s="299">
        <v>124220800</v>
      </c>
      <c r="G514" s="292"/>
      <c r="H514" s="88"/>
      <c r="I514" s="88"/>
      <c r="J514" s="293"/>
      <c r="K514" s="88"/>
      <c r="L514" s="88"/>
      <c r="M514" s="88"/>
      <c r="N514" s="294"/>
      <c r="O514" s="88"/>
      <c r="P514" s="88"/>
      <c r="Q514" s="88"/>
      <c r="R514" s="88"/>
      <c r="S514" s="88"/>
      <c r="T514" s="88"/>
      <c r="U514" s="88"/>
      <c r="V514" s="88"/>
      <c r="W514" s="88"/>
      <c r="X514" s="88"/>
      <c r="Y514" s="88"/>
      <c r="Z514" s="88"/>
      <c r="AA514" s="88"/>
      <c r="AB514" s="88"/>
      <c r="AC514" s="88"/>
      <c r="AD514" s="88"/>
      <c r="AE514" s="88"/>
      <c r="AF514" s="88"/>
      <c r="AG514" s="88"/>
      <c r="AH514" s="88"/>
    </row>
    <row r="515" spans="1:34" ht="69.75" customHeight="1" x14ac:dyDescent="0.25">
      <c r="A515" s="952" t="s">
        <v>944</v>
      </c>
      <c r="B515" s="957" t="s">
        <v>963</v>
      </c>
      <c r="C515" s="957" t="s">
        <v>964</v>
      </c>
      <c r="D515" s="290" t="s">
        <v>344</v>
      </c>
      <c r="E515" s="291">
        <v>970441800</v>
      </c>
      <c r="F515" s="299">
        <v>316572428</v>
      </c>
      <c r="G515" s="292"/>
      <c r="H515" s="88"/>
      <c r="I515" s="88"/>
      <c r="J515" s="293"/>
      <c r="K515" s="88"/>
      <c r="L515" s="88"/>
      <c r="M515" s="88"/>
      <c r="N515" s="294"/>
      <c r="O515" s="88"/>
      <c r="P515" s="88"/>
      <c r="Q515" s="88"/>
      <c r="R515" s="88"/>
      <c r="S515" s="88"/>
      <c r="T515" s="88"/>
      <c r="U515" s="88"/>
      <c r="V515" s="88"/>
      <c r="W515" s="88"/>
      <c r="X515" s="88"/>
      <c r="Y515" s="88"/>
      <c r="Z515" s="88"/>
      <c r="AA515" s="88"/>
      <c r="AB515" s="88"/>
      <c r="AC515" s="88"/>
      <c r="AD515" s="88"/>
      <c r="AE515" s="88"/>
      <c r="AF515" s="88"/>
      <c r="AG515" s="88"/>
      <c r="AH515" s="88"/>
    </row>
    <row r="516" spans="1:34" ht="69.75" customHeight="1" x14ac:dyDescent="0.25">
      <c r="A516" s="948"/>
      <c r="B516" s="694"/>
      <c r="C516" s="694"/>
      <c r="D516" s="290" t="s">
        <v>355</v>
      </c>
      <c r="E516" s="291">
        <v>132270000</v>
      </c>
      <c r="F516" s="299">
        <v>56141267</v>
      </c>
      <c r="G516" s="292"/>
      <c r="H516" s="88"/>
      <c r="I516" s="88"/>
      <c r="J516" s="293"/>
      <c r="K516" s="88"/>
      <c r="L516" s="88"/>
      <c r="M516" s="88"/>
      <c r="N516" s="294"/>
      <c r="O516" s="88"/>
      <c r="P516" s="88"/>
      <c r="Q516" s="88"/>
      <c r="R516" s="88"/>
      <c r="S516" s="88"/>
      <c r="T516" s="88"/>
      <c r="U516" s="88"/>
      <c r="V516" s="88"/>
      <c r="W516" s="88"/>
      <c r="X516" s="88"/>
      <c r="Y516" s="88"/>
      <c r="Z516" s="88"/>
      <c r="AA516" s="88"/>
      <c r="AB516" s="88"/>
      <c r="AC516" s="88"/>
      <c r="AD516" s="88"/>
      <c r="AE516" s="88"/>
      <c r="AF516" s="88"/>
      <c r="AG516" s="88"/>
      <c r="AH516" s="88"/>
    </row>
    <row r="517" spans="1:34" ht="69.75" customHeight="1" x14ac:dyDescent="0.25">
      <c r="A517" s="948"/>
      <c r="B517" s="733"/>
      <c r="C517" s="733"/>
      <c r="D517" s="290" t="s">
        <v>358</v>
      </c>
      <c r="E517" s="291">
        <v>30935200</v>
      </c>
      <c r="F517" s="299">
        <v>12742333</v>
      </c>
      <c r="G517" s="292"/>
      <c r="H517" s="88"/>
      <c r="I517" s="88"/>
      <c r="J517" s="293"/>
      <c r="K517" s="88"/>
      <c r="L517" s="88"/>
      <c r="M517" s="88"/>
      <c r="N517" s="294"/>
      <c r="O517" s="88"/>
      <c r="P517" s="88"/>
      <c r="Q517" s="88"/>
      <c r="R517" s="88"/>
      <c r="S517" s="88"/>
      <c r="T517" s="88"/>
      <c r="U517" s="88"/>
      <c r="V517" s="88"/>
      <c r="W517" s="88"/>
      <c r="X517" s="88"/>
      <c r="Y517" s="88"/>
      <c r="Z517" s="88"/>
      <c r="AA517" s="88"/>
      <c r="AB517" s="88"/>
      <c r="AC517" s="88"/>
      <c r="AD517" s="88"/>
      <c r="AE517" s="88"/>
      <c r="AF517" s="88"/>
      <c r="AG517" s="88"/>
      <c r="AH517" s="88"/>
    </row>
    <row r="518" spans="1:34" ht="69.75" customHeight="1" x14ac:dyDescent="0.25">
      <c r="A518" s="948"/>
      <c r="B518" s="965" t="s">
        <v>967</v>
      </c>
      <c r="C518" s="965" t="s">
        <v>968</v>
      </c>
      <c r="D518" s="295" t="s">
        <v>362</v>
      </c>
      <c r="E518" s="291">
        <v>70434000</v>
      </c>
      <c r="F518" s="299">
        <v>36390900</v>
      </c>
      <c r="G518" s="292"/>
      <c r="H518" s="88"/>
      <c r="I518" s="88"/>
      <c r="J518" s="293"/>
      <c r="K518" s="88"/>
      <c r="L518" s="88"/>
      <c r="M518" s="88"/>
      <c r="N518" s="294"/>
      <c r="O518" s="88"/>
      <c r="P518" s="88"/>
      <c r="Q518" s="88"/>
      <c r="R518" s="88"/>
      <c r="S518" s="88"/>
      <c r="T518" s="88"/>
      <c r="U518" s="88"/>
      <c r="V518" s="88"/>
      <c r="W518" s="88"/>
      <c r="X518" s="88"/>
      <c r="Y518" s="88"/>
      <c r="Z518" s="88"/>
      <c r="AA518" s="88"/>
      <c r="AB518" s="88"/>
      <c r="AC518" s="88"/>
      <c r="AD518" s="88"/>
      <c r="AE518" s="88"/>
      <c r="AF518" s="88"/>
      <c r="AG518" s="88"/>
      <c r="AH518" s="88"/>
    </row>
    <row r="519" spans="1:34" ht="69.75" customHeight="1" x14ac:dyDescent="0.25">
      <c r="A519" s="948"/>
      <c r="B519" s="694"/>
      <c r="C519" s="694"/>
      <c r="D519" s="295" t="s">
        <v>1148</v>
      </c>
      <c r="E519" s="291">
        <v>672748000</v>
      </c>
      <c r="F519" s="299">
        <v>244433501</v>
      </c>
      <c r="G519" s="292"/>
      <c r="H519" s="88"/>
      <c r="I519" s="88"/>
      <c r="J519" s="293"/>
      <c r="K519" s="88"/>
      <c r="L519" s="88"/>
      <c r="M519" s="88"/>
      <c r="N519" s="294"/>
      <c r="O519" s="88"/>
      <c r="P519" s="88"/>
      <c r="Q519" s="88"/>
      <c r="R519" s="88"/>
      <c r="S519" s="88"/>
      <c r="T519" s="88"/>
      <c r="U519" s="88"/>
      <c r="V519" s="88"/>
      <c r="W519" s="88"/>
      <c r="X519" s="88"/>
      <c r="Y519" s="88"/>
      <c r="Z519" s="88"/>
      <c r="AA519" s="88"/>
      <c r="AB519" s="88"/>
      <c r="AC519" s="88"/>
      <c r="AD519" s="88"/>
      <c r="AE519" s="88"/>
      <c r="AF519" s="88"/>
      <c r="AG519" s="88"/>
      <c r="AH519" s="88"/>
    </row>
    <row r="520" spans="1:34" ht="69.75" customHeight="1" x14ac:dyDescent="0.25">
      <c r="A520" s="948"/>
      <c r="B520" s="694"/>
      <c r="C520" s="694"/>
      <c r="D520" s="295" t="s">
        <v>1149</v>
      </c>
      <c r="E520" s="291">
        <v>309585000</v>
      </c>
      <c r="F520" s="299">
        <v>126030233</v>
      </c>
      <c r="G520" s="292"/>
      <c r="H520" s="88"/>
      <c r="I520" s="88"/>
      <c r="J520" s="293"/>
      <c r="K520" s="88"/>
      <c r="L520" s="88"/>
      <c r="M520" s="88"/>
      <c r="N520" s="294"/>
      <c r="O520" s="88"/>
      <c r="P520" s="88"/>
      <c r="Q520" s="88"/>
      <c r="R520" s="88"/>
      <c r="S520" s="88"/>
      <c r="T520" s="88"/>
      <c r="U520" s="88"/>
      <c r="V520" s="88"/>
      <c r="W520" s="88"/>
      <c r="X520" s="88"/>
      <c r="Y520" s="88"/>
      <c r="Z520" s="88"/>
      <c r="AA520" s="88"/>
      <c r="AB520" s="88"/>
      <c r="AC520" s="88"/>
      <c r="AD520" s="88"/>
      <c r="AE520" s="88"/>
      <c r="AF520" s="88"/>
      <c r="AG520" s="88"/>
      <c r="AH520" s="88"/>
    </row>
    <row r="521" spans="1:34" ht="69.75" customHeight="1" x14ac:dyDescent="0.25">
      <c r="A521" s="948"/>
      <c r="B521" s="733"/>
      <c r="C521" s="733"/>
      <c r="D521" s="295" t="s">
        <v>891</v>
      </c>
      <c r="E521" s="296">
        <v>436082000</v>
      </c>
      <c r="F521" s="299">
        <v>177419134</v>
      </c>
      <c r="G521" s="298"/>
      <c r="H521" s="88"/>
      <c r="I521" s="88"/>
      <c r="J521" s="293"/>
      <c r="K521" s="88"/>
      <c r="L521" s="88"/>
      <c r="M521" s="88"/>
      <c r="N521" s="294"/>
      <c r="O521" s="88"/>
      <c r="P521" s="88"/>
      <c r="Q521" s="88"/>
      <c r="R521" s="88"/>
      <c r="S521" s="88"/>
      <c r="T521" s="88"/>
      <c r="U521" s="88"/>
      <c r="V521" s="88"/>
      <c r="W521" s="88"/>
      <c r="X521" s="88"/>
      <c r="Y521" s="88"/>
      <c r="Z521" s="88"/>
      <c r="AA521" s="88"/>
      <c r="AB521" s="88"/>
      <c r="AC521" s="88"/>
      <c r="AD521" s="88"/>
      <c r="AE521" s="88"/>
      <c r="AF521" s="88"/>
      <c r="AG521" s="88"/>
      <c r="AH521" s="88"/>
    </row>
    <row r="522" spans="1:34" ht="69.75" customHeight="1" x14ac:dyDescent="0.25">
      <c r="A522" s="948"/>
      <c r="B522" s="30" t="s">
        <v>971</v>
      </c>
      <c r="C522" s="30" t="s">
        <v>972</v>
      </c>
      <c r="D522" s="295" t="s">
        <v>1150</v>
      </c>
      <c r="E522" s="291">
        <v>289724000</v>
      </c>
      <c r="F522" s="299">
        <v>124344966</v>
      </c>
      <c r="G522" s="292"/>
      <c r="H522" s="88"/>
      <c r="I522" s="88"/>
      <c r="J522" s="293"/>
      <c r="K522" s="88"/>
      <c r="L522" s="88"/>
      <c r="M522" s="88"/>
      <c r="N522" s="294"/>
      <c r="O522" s="88"/>
      <c r="P522" s="88"/>
      <c r="Q522" s="88"/>
      <c r="R522" s="88"/>
      <c r="S522" s="88"/>
      <c r="T522" s="88"/>
      <c r="U522" s="88"/>
      <c r="V522" s="88"/>
      <c r="W522" s="88"/>
      <c r="X522" s="88"/>
      <c r="Y522" s="88"/>
      <c r="Z522" s="88"/>
      <c r="AA522" s="88"/>
      <c r="AB522" s="88"/>
      <c r="AC522" s="88"/>
      <c r="AD522" s="88"/>
      <c r="AE522" s="88"/>
      <c r="AF522" s="88"/>
      <c r="AG522" s="88"/>
      <c r="AH522" s="88"/>
    </row>
    <row r="523" spans="1:34" ht="69.75" customHeight="1" x14ac:dyDescent="0.25">
      <c r="A523" s="953"/>
      <c r="B523" s="30" t="s">
        <v>975</v>
      </c>
      <c r="C523" s="30" t="s">
        <v>976</v>
      </c>
      <c r="D523" s="295" t="s">
        <v>381</v>
      </c>
      <c r="E523" s="291">
        <v>783556000</v>
      </c>
      <c r="F523" s="299">
        <v>167398805</v>
      </c>
      <c r="G523" s="292"/>
      <c r="H523" s="88"/>
      <c r="I523" s="88"/>
      <c r="J523" s="293"/>
      <c r="K523" s="88"/>
      <c r="L523" s="88"/>
      <c r="M523" s="88"/>
      <c r="N523" s="294"/>
      <c r="O523" s="88"/>
      <c r="P523" s="88"/>
      <c r="Q523" s="88"/>
      <c r="R523" s="88"/>
      <c r="S523" s="88"/>
      <c r="T523" s="88"/>
      <c r="U523" s="88"/>
      <c r="V523" s="88"/>
      <c r="W523" s="88"/>
      <c r="X523" s="88"/>
      <c r="Y523" s="88"/>
      <c r="Z523" s="88"/>
      <c r="AA523" s="88"/>
      <c r="AB523" s="88"/>
      <c r="AC523" s="88"/>
      <c r="AD523" s="88"/>
      <c r="AE523" s="88"/>
      <c r="AF523" s="88"/>
      <c r="AG523" s="88"/>
      <c r="AH523" s="88"/>
    </row>
    <row r="524" spans="1:34" ht="69.75" customHeight="1" x14ac:dyDescent="0.25">
      <c r="A524" s="952" t="s">
        <v>933</v>
      </c>
      <c r="B524" s="957" t="s">
        <v>963</v>
      </c>
      <c r="C524" s="957" t="s">
        <v>964</v>
      </c>
      <c r="D524" s="290" t="s">
        <v>344</v>
      </c>
      <c r="E524" s="291">
        <v>1017092400</v>
      </c>
      <c r="F524" s="299">
        <v>533814963.89194524</v>
      </c>
      <c r="G524" s="292"/>
      <c r="H524" s="88"/>
      <c r="I524" s="88"/>
      <c r="J524" s="293"/>
      <c r="K524" s="88"/>
      <c r="L524" s="88"/>
      <c r="M524" s="88"/>
      <c r="N524" s="294"/>
      <c r="O524" s="88"/>
      <c r="P524" s="88"/>
      <c r="Q524" s="88"/>
      <c r="R524" s="88"/>
      <c r="S524" s="88"/>
      <c r="T524" s="88"/>
      <c r="U524" s="88"/>
      <c r="V524" s="88"/>
      <c r="W524" s="88"/>
      <c r="X524" s="88"/>
      <c r="Y524" s="88"/>
      <c r="Z524" s="88"/>
      <c r="AA524" s="88"/>
      <c r="AB524" s="88"/>
      <c r="AC524" s="88"/>
      <c r="AD524" s="88"/>
      <c r="AE524" s="88"/>
      <c r="AF524" s="88"/>
      <c r="AG524" s="88"/>
      <c r="AH524" s="88"/>
    </row>
    <row r="525" spans="1:34" ht="69.75" customHeight="1" x14ac:dyDescent="0.25">
      <c r="A525" s="948"/>
      <c r="B525" s="694"/>
      <c r="C525" s="694"/>
      <c r="D525" s="290" t="s">
        <v>355</v>
      </c>
      <c r="E525" s="291">
        <v>132270000</v>
      </c>
      <c r="F525" s="299">
        <v>95822267</v>
      </c>
      <c r="G525" s="292"/>
      <c r="H525" s="88"/>
      <c r="I525" s="88"/>
      <c r="J525" s="293"/>
      <c r="K525" s="88"/>
      <c r="L525" s="88"/>
      <c r="M525" s="88"/>
      <c r="N525" s="294"/>
      <c r="O525" s="88"/>
      <c r="P525" s="88"/>
      <c r="Q525" s="88"/>
      <c r="R525" s="88"/>
      <c r="S525" s="88"/>
      <c r="T525" s="88"/>
      <c r="U525" s="88"/>
      <c r="V525" s="88"/>
      <c r="W525" s="88"/>
      <c r="X525" s="88"/>
      <c r="Y525" s="88"/>
      <c r="Z525" s="88"/>
      <c r="AA525" s="88"/>
      <c r="AB525" s="88"/>
      <c r="AC525" s="88"/>
      <c r="AD525" s="88"/>
      <c r="AE525" s="88"/>
      <c r="AF525" s="88"/>
      <c r="AG525" s="88"/>
      <c r="AH525" s="88"/>
    </row>
    <row r="526" spans="1:34" ht="69.75" customHeight="1" x14ac:dyDescent="0.25">
      <c r="A526" s="948"/>
      <c r="B526" s="733"/>
      <c r="C526" s="733"/>
      <c r="D526" s="290" t="s">
        <v>358</v>
      </c>
      <c r="E526" s="291">
        <v>30517600</v>
      </c>
      <c r="F526" s="299">
        <v>21772333</v>
      </c>
      <c r="G526" s="292"/>
      <c r="H526" s="88"/>
      <c r="I526" s="88"/>
      <c r="J526" s="293"/>
      <c r="K526" s="88"/>
      <c r="L526" s="88"/>
      <c r="M526" s="88"/>
      <c r="N526" s="294"/>
      <c r="O526" s="88"/>
      <c r="P526" s="88"/>
      <c r="Q526" s="88"/>
      <c r="R526" s="88"/>
      <c r="S526" s="88"/>
      <c r="T526" s="88"/>
      <c r="U526" s="88"/>
      <c r="V526" s="88"/>
      <c r="W526" s="88"/>
      <c r="X526" s="88"/>
      <c r="Y526" s="88"/>
      <c r="Z526" s="88"/>
      <c r="AA526" s="88"/>
      <c r="AB526" s="88"/>
      <c r="AC526" s="88"/>
      <c r="AD526" s="88"/>
      <c r="AE526" s="88"/>
      <c r="AF526" s="88"/>
      <c r="AG526" s="88"/>
      <c r="AH526" s="88"/>
    </row>
    <row r="527" spans="1:34" ht="69.75" customHeight="1" x14ac:dyDescent="0.25">
      <c r="A527" s="948"/>
      <c r="B527" s="965" t="s">
        <v>967</v>
      </c>
      <c r="C527" s="965" t="s">
        <v>968</v>
      </c>
      <c r="D527" s="295" t="s">
        <v>362</v>
      </c>
      <c r="E527" s="291">
        <v>86086000</v>
      </c>
      <c r="F527" s="299">
        <v>59868900</v>
      </c>
      <c r="G527" s="292"/>
      <c r="H527" s="88"/>
      <c r="I527" s="88"/>
      <c r="J527" s="293"/>
      <c r="K527" s="88"/>
      <c r="L527" s="88"/>
      <c r="M527" s="88"/>
      <c r="N527" s="294"/>
      <c r="O527" s="88"/>
      <c r="P527" s="88"/>
      <c r="Q527" s="88"/>
      <c r="R527" s="88"/>
      <c r="S527" s="88"/>
      <c r="T527" s="88"/>
      <c r="U527" s="88"/>
      <c r="V527" s="88"/>
      <c r="W527" s="88"/>
      <c r="X527" s="88"/>
      <c r="Y527" s="88"/>
      <c r="Z527" s="88"/>
      <c r="AA527" s="88"/>
      <c r="AB527" s="88"/>
      <c r="AC527" s="88"/>
      <c r="AD527" s="88"/>
      <c r="AE527" s="88"/>
      <c r="AF527" s="88"/>
      <c r="AG527" s="88"/>
      <c r="AH527" s="88"/>
    </row>
    <row r="528" spans="1:34" ht="69.75" customHeight="1" x14ac:dyDescent="0.25">
      <c r="A528" s="948"/>
      <c r="B528" s="694"/>
      <c r="C528" s="694"/>
      <c r="D528" s="295" t="s">
        <v>1148</v>
      </c>
      <c r="E528" s="291">
        <v>779475438</v>
      </c>
      <c r="F528" s="299">
        <v>452508217.87474829</v>
      </c>
      <c r="G528" s="292"/>
      <c r="H528" s="88"/>
      <c r="I528" s="88"/>
      <c r="J528" s="293"/>
      <c r="K528" s="88"/>
      <c r="L528" s="88"/>
      <c r="M528" s="88"/>
      <c r="N528" s="294"/>
      <c r="O528" s="88"/>
      <c r="P528" s="88"/>
      <c r="Q528" s="88"/>
      <c r="R528" s="88"/>
      <c r="S528" s="88"/>
      <c r="T528" s="88"/>
      <c r="U528" s="88"/>
      <c r="V528" s="88"/>
      <c r="W528" s="88"/>
      <c r="X528" s="88"/>
      <c r="Y528" s="88"/>
      <c r="Z528" s="88"/>
      <c r="AA528" s="88"/>
      <c r="AB528" s="88"/>
      <c r="AC528" s="88"/>
      <c r="AD528" s="88"/>
      <c r="AE528" s="88"/>
      <c r="AF528" s="88"/>
      <c r="AG528" s="88"/>
      <c r="AH528" s="88"/>
    </row>
    <row r="529" spans="1:34" ht="69.75" customHeight="1" x14ac:dyDescent="0.25">
      <c r="A529" s="948"/>
      <c r="B529" s="694"/>
      <c r="C529" s="694"/>
      <c r="D529" s="295" t="s">
        <v>1149</v>
      </c>
      <c r="E529" s="291">
        <v>309028200</v>
      </c>
      <c r="F529" s="299">
        <v>221370466.12525171</v>
      </c>
      <c r="G529" s="292"/>
      <c r="H529" s="88"/>
      <c r="I529" s="88"/>
      <c r="J529" s="293"/>
      <c r="K529" s="88"/>
      <c r="L529" s="88"/>
      <c r="M529" s="88"/>
      <c r="N529" s="294"/>
      <c r="O529" s="88"/>
      <c r="P529" s="88"/>
      <c r="Q529" s="88"/>
      <c r="R529" s="88"/>
      <c r="S529" s="88"/>
      <c r="T529" s="88"/>
      <c r="U529" s="88"/>
      <c r="V529" s="88"/>
      <c r="W529" s="88"/>
      <c r="X529" s="88"/>
      <c r="Y529" s="88"/>
      <c r="Z529" s="88"/>
      <c r="AA529" s="88"/>
      <c r="AB529" s="88"/>
      <c r="AC529" s="88"/>
      <c r="AD529" s="88"/>
      <c r="AE529" s="88"/>
      <c r="AF529" s="88"/>
      <c r="AG529" s="88"/>
      <c r="AH529" s="88"/>
    </row>
    <row r="530" spans="1:34" ht="69.75" customHeight="1" x14ac:dyDescent="0.25">
      <c r="A530" s="948"/>
      <c r="B530" s="733"/>
      <c r="C530" s="733"/>
      <c r="D530" s="295" t="s">
        <v>891</v>
      </c>
      <c r="E530" s="296">
        <v>729282124</v>
      </c>
      <c r="F530" s="299">
        <v>307214967</v>
      </c>
      <c r="G530" s="298"/>
      <c r="H530" s="88"/>
      <c r="I530" s="88"/>
      <c r="J530" s="293"/>
      <c r="K530" s="88"/>
      <c r="L530" s="88"/>
      <c r="M530" s="88"/>
      <c r="N530" s="294"/>
      <c r="O530" s="88"/>
      <c r="P530" s="88"/>
      <c r="Q530" s="88"/>
      <c r="R530" s="88"/>
      <c r="S530" s="88"/>
      <c r="T530" s="88"/>
      <c r="U530" s="88"/>
      <c r="V530" s="88"/>
      <c r="W530" s="88"/>
      <c r="X530" s="88"/>
      <c r="Y530" s="88"/>
      <c r="Z530" s="88"/>
      <c r="AA530" s="88"/>
      <c r="AB530" s="88"/>
      <c r="AC530" s="88"/>
      <c r="AD530" s="88"/>
      <c r="AE530" s="88"/>
      <c r="AF530" s="88"/>
      <c r="AG530" s="88"/>
      <c r="AH530" s="88"/>
    </row>
    <row r="531" spans="1:34" ht="69.75" customHeight="1" x14ac:dyDescent="0.25">
      <c r="A531" s="948"/>
      <c r="B531" s="30" t="s">
        <v>971</v>
      </c>
      <c r="C531" s="30" t="s">
        <v>972</v>
      </c>
      <c r="D531" s="295" t="s">
        <v>1150</v>
      </c>
      <c r="E531" s="291">
        <v>289724000</v>
      </c>
      <c r="F531" s="299">
        <v>217074966</v>
      </c>
      <c r="G531" s="292"/>
      <c r="H531" s="88"/>
      <c r="I531" s="88"/>
      <c r="J531" s="293"/>
      <c r="K531" s="88"/>
      <c r="L531" s="88"/>
      <c r="M531" s="88"/>
      <c r="N531" s="294"/>
      <c r="O531" s="88"/>
      <c r="P531" s="88"/>
      <c r="Q531" s="88"/>
      <c r="R531" s="88"/>
      <c r="S531" s="88"/>
      <c r="T531" s="88"/>
      <c r="U531" s="88"/>
      <c r="V531" s="88"/>
      <c r="W531" s="88"/>
      <c r="X531" s="88"/>
      <c r="Y531" s="88"/>
      <c r="Z531" s="88"/>
      <c r="AA531" s="88"/>
      <c r="AB531" s="88"/>
      <c r="AC531" s="88"/>
      <c r="AD531" s="88"/>
      <c r="AE531" s="88"/>
      <c r="AF531" s="88"/>
      <c r="AG531" s="88"/>
      <c r="AH531" s="88"/>
    </row>
    <row r="532" spans="1:34" ht="69.75" customHeight="1" x14ac:dyDescent="0.25">
      <c r="A532" s="953"/>
      <c r="B532" s="30" t="s">
        <v>975</v>
      </c>
      <c r="C532" s="30" t="s">
        <v>976</v>
      </c>
      <c r="D532" s="295" t="s">
        <v>381</v>
      </c>
      <c r="E532" s="291">
        <v>783556000</v>
      </c>
      <c r="F532" s="299">
        <v>333091918.10805476</v>
      </c>
      <c r="G532" s="292"/>
      <c r="H532" s="88"/>
      <c r="I532" s="88"/>
      <c r="J532" s="293"/>
      <c r="K532" s="88"/>
      <c r="L532" s="88"/>
      <c r="M532" s="88"/>
      <c r="N532" s="294"/>
      <c r="O532" s="88"/>
      <c r="P532" s="88"/>
      <c r="Q532" s="88"/>
      <c r="R532" s="88"/>
      <c r="S532" s="88"/>
      <c r="T532" s="88"/>
      <c r="U532" s="88"/>
      <c r="V532" s="88"/>
      <c r="W532" s="88"/>
      <c r="X532" s="88"/>
      <c r="Y532" s="88"/>
      <c r="Z532" s="88"/>
      <c r="AA532" s="88"/>
      <c r="AB532" s="88"/>
      <c r="AC532" s="88"/>
      <c r="AD532" s="88"/>
      <c r="AE532" s="88"/>
      <c r="AF532" s="88"/>
      <c r="AG532" s="88"/>
      <c r="AH532" s="88"/>
    </row>
    <row r="533" spans="1:34" ht="69.75" customHeight="1" x14ac:dyDescent="0.25">
      <c r="A533" s="952" t="s">
        <v>934</v>
      </c>
      <c r="B533" s="957" t="s">
        <v>963</v>
      </c>
      <c r="C533" s="957" t="s">
        <v>964</v>
      </c>
      <c r="D533" s="290" t="s">
        <v>344</v>
      </c>
      <c r="E533" s="300">
        <v>1038843096</v>
      </c>
      <c r="F533" s="301">
        <v>608367378</v>
      </c>
      <c r="G533" s="292"/>
      <c r="H533" s="88"/>
      <c r="I533" s="88"/>
      <c r="J533" s="293"/>
      <c r="K533" s="88"/>
      <c r="L533" s="88"/>
      <c r="M533" s="88"/>
      <c r="N533" s="294"/>
      <c r="O533" s="88"/>
      <c r="P533" s="88"/>
      <c r="Q533" s="88"/>
      <c r="R533" s="88"/>
      <c r="S533" s="88"/>
      <c r="T533" s="88"/>
      <c r="U533" s="88"/>
      <c r="V533" s="88"/>
      <c r="W533" s="88"/>
      <c r="X533" s="88"/>
      <c r="Y533" s="88"/>
      <c r="Z533" s="88"/>
      <c r="AA533" s="88"/>
      <c r="AB533" s="88"/>
      <c r="AC533" s="88"/>
      <c r="AD533" s="88"/>
      <c r="AE533" s="88"/>
      <c r="AF533" s="88"/>
      <c r="AG533" s="88"/>
      <c r="AH533" s="88"/>
    </row>
    <row r="534" spans="1:34" ht="69.75" customHeight="1" x14ac:dyDescent="0.25">
      <c r="A534" s="948"/>
      <c r="B534" s="694"/>
      <c r="C534" s="694"/>
      <c r="D534" s="290" t="s">
        <v>355</v>
      </c>
      <c r="E534" s="300">
        <v>141088000</v>
      </c>
      <c r="F534" s="301">
        <v>104640267</v>
      </c>
      <c r="G534" s="292"/>
      <c r="H534" s="88"/>
      <c r="I534" s="88"/>
      <c r="J534" s="293"/>
      <c r="K534" s="88"/>
      <c r="L534" s="88"/>
      <c r="M534" s="88"/>
      <c r="N534" s="294"/>
      <c r="O534" s="88"/>
      <c r="P534" s="88"/>
      <c r="Q534" s="88"/>
      <c r="R534" s="88"/>
      <c r="S534" s="88"/>
      <c r="T534" s="88"/>
      <c r="U534" s="88"/>
      <c r="V534" s="88"/>
      <c r="W534" s="88"/>
      <c r="X534" s="88"/>
      <c r="Y534" s="88"/>
      <c r="Z534" s="88"/>
      <c r="AA534" s="88"/>
      <c r="AB534" s="88"/>
      <c r="AC534" s="88"/>
      <c r="AD534" s="88"/>
      <c r="AE534" s="88"/>
      <c r="AF534" s="88"/>
      <c r="AG534" s="88"/>
      <c r="AH534" s="88"/>
    </row>
    <row r="535" spans="1:34" ht="69.75" customHeight="1" x14ac:dyDescent="0.25">
      <c r="A535" s="948"/>
      <c r="B535" s="733"/>
      <c r="C535" s="733"/>
      <c r="D535" s="290" t="s">
        <v>358</v>
      </c>
      <c r="E535" s="300">
        <v>33527600</v>
      </c>
      <c r="F535" s="301">
        <v>24852633</v>
      </c>
      <c r="G535" s="292"/>
      <c r="H535" s="88"/>
      <c r="I535" s="88"/>
      <c r="J535" s="293"/>
      <c r="K535" s="88"/>
      <c r="L535" s="88"/>
      <c r="M535" s="88"/>
      <c r="N535" s="294"/>
      <c r="O535" s="88"/>
      <c r="P535" s="88"/>
      <c r="Q535" s="88"/>
      <c r="R535" s="88"/>
      <c r="S535" s="88"/>
      <c r="T535" s="88"/>
      <c r="U535" s="88"/>
      <c r="V535" s="88"/>
      <c r="W535" s="88"/>
      <c r="X535" s="88"/>
      <c r="Y535" s="88"/>
      <c r="Z535" s="88"/>
      <c r="AA535" s="88"/>
      <c r="AB535" s="88"/>
      <c r="AC535" s="88"/>
      <c r="AD535" s="88"/>
      <c r="AE535" s="88"/>
      <c r="AF535" s="88"/>
      <c r="AG535" s="88"/>
      <c r="AH535" s="88"/>
    </row>
    <row r="536" spans="1:34" ht="69.75" customHeight="1" x14ac:dyDescent="0.25">
      <c r="A536" s="948"/>
      <c r="B536" s="965" t="s">
        <v>967</v>
      </c>
      <c r="C536" s="965" t="s">
        <v>968</v>
      </c>
      <c r="D536" s="295" t="s">
        <v>362</v>
      </c>
      <c r="E536" s="300">
        <v>86086000</v>
      </c>
      <c r="F536" s="301">
        <v>65086233</v>
      </c>
      <c r="G536" s="292"/>
      <c r="H536" s="88"/>
      <c r="I536" s="88"/>
      <c r="J536" s="293"/>
      <c r="K536" s="88"/>
      <c r="L536" s="88"/>
      <c r="M536" s="88"/>
      <c r="N536" s="294"/>
      <c r="O536" s="88"/>
      <c r="P536" s="88"/>
      <c r="Q536" s="88"/>
      <c r="R536" s="88"/>
      <c r="S536" s="88"/>
      <c r="T536" s="88"/>
      <c r="U536" s="88"/>
      <c r="V536" s="88"/>
      <c r="W536" s="88"/>
      <c r="X536" s="88"/>
      <c r="Y536" s="88"/>
      <c r="Z536" s="88"/>
      <c r="AA536" s="88"/>
      <c r="AB536" s="88"/>
      <c r="AC536" s="88"/>
      <c r="AD536" s="88"/>
      <c r="AE536" s="88"/>
      <c r="AF536" s="88"/>
      <c r="AG536" s="88"/>
      <c r="AH536" s="88"/>
    </row>
    <row r="537" spans="1:34" ht="69.75" customHeight="1" x14ac:dyDescent="0.25">
      <c r="A537" s="948"/>
      <c r="B537" s="694"/>
      <c r="C537" s="694"/>
      <c r="D537" s="295" t="s">
        <v>1148</v>
      </c>
      <c r="E537" s="300">
        <v>789292834</v>
      </c>
      <c r="F537" s="301">
        <v>553476513</v>
      </c>
      <c r="G537" s="292"/>
      <c r="H537" s="88"/>
      <c r="I537" s="88"/>
      <c r="J537" s="293"/>
      <c r="K537" s="88"/>
      <c r="L537" s="88"/>
      <c r="M537" s="88"/>
      <c r="N537" s="294"/>
      <c r="O537" s="88"/>
      <c r="P537" s="88"/>
      <c r="Q537" s="88"/>
      <c r="R537" s="88"/>
      <c r="S537" s="88"/>
      <c r="T537" s="88"/>
      <c r="U537" s="88"/>
      <c r="V537" s="88"/>
      <c r="W537" s="88"/>
      <c r="X537" s="88"/>
      <c r="Y537" s="88"/>
      <c r="Z537" s="88"/>
      <c r="AA537" s="88"/>
      <c r="AB537" s="88"/>
      <c r="AC537" s="88"/>
      <c r="AD537" s="88"/>
      <c r="AE537" s="88"/>
      <c r="AF537" s="88"/>
      <c r="AG537" s="88"/>
      <c r="AH537" s="88"/>
    </row>
    <row r="538" spans="1:34" ht="69.75" customHeight="1" x14ac:dyDescent="0.25">
      <c r="A538" s="948"/>
      <c r="B538" s="694"/>
      <c r="C538" s="694"/>
      <c r="D538" s="295" t="s">
        <v>1149</v>
      </c>
      <c r="E538" s="300">
        <v>335963368</v>
      </c>
      <c r="F538" s="301">
        <v>249612518</v>
      </c>
      <c r="G538" s="292"/>
      <c r="H538" s="88"/>
      <c r="I538" s="88"/>
      <c r="J538" s="293"/>
      <c r="K538" s="88"/>
      <c r="L538" s="88"/>
      <c r="M538" s="88"/>
      <c r="N538" s="294"/>
      <c r="O538" s="88"/>
      <c r="P538" s="88"/>
      <c r="Q538" s="88"/>
      <c r="R538" s="88"/>
      <c r="S538" s="88"/>
      <c r="T538" s="88"/>
      <c r="U538" s="88"/>
      <c r="V538" s="88"/>
      <c r="W538" s="88"/>
      <c r="X538" s="88"/>
      <c r="Y538" s="88"/>
      <c r="Z538" s="88"/>
      <c r="AA538" s="88"/>
      <c r="AB538" s="88"/>
      <c r="AC538" s="88"/>
      <c r="AD538" s="88"/>
      <c r="AE538" s="88"/>
      <c r="AF538" s="88"/>
      <c r="AG538" s="88"/>
      <c r="AH538" s="88"/>
    </row>
    <row r="539" spans="1:34" ht="69.75" customHeight="1" x14ac:dyDescent="0.25">
      <c r="A539" s="948"/>
      <c r="B539" s="733"/>
      <c r="C539" s="733"/>
      <c r="D539" s="295" t="s">
        <v>891</v>
      </c>
      <c r="E539" s="302">
        <v>729276096</v>
      </c>
      <c r="F539" s="301">
        <v>345941534</v>
      </c>
      <c r="G539" s="298"/>
      <c r="H539" s="88"/>
      <c r="I539" s="88"/>
      <c r="J539" s="293"/>
      <c r="K539" s="88"/>
      <c r="L539" s="88"/>
      <c r="M539" s="88"/>
      <c r="N539" s="294"/>
      <c r="O539" s="88"/>
      <c r="P539" s="88"/>
      <c r="Q539" s="88"/>
      <c r="R539" s="88"/>
      <c r="S539" s="88"/>
      <c r="T539" s="88"/>
      <c r="U539" s="88"/>
      <c r="V539" s="88"/>
      <c r="W539" s="88"/>
      <c r="X539" s="88"/>
      <c r="Y539" s="88"/>
      <c r="Z539" s="88"/>
      <c r="AA539" s="88"/>
      <c r="AB539" s="88"/>
      <c r="AC539" s="88"/>
      <c r="AD539" s="88"/>
      <c r="AE539" s="88"/>
      <c r="AF539" s="88"/>
      <c r="AG539" s="88"/>
      <c r="AH539" s="88"/>
    </row>
    <row r="540" spans="1:34" ht="69.75" customHeight="1" x14ac:dyDescent="0.25">
      <c r="A540" s="948"/>
      <c r="B540" s="30" t="s">
        <v>971</v>
      </c>
      <c r="C540" s="30" t="s">
        <v>972</v>
      </c>
      <c r="D540" s="295" t="s">
        <v>1150</v>
      </c>
      <c r="E540" s="300">
        <v>322224768</v>
      </c>
      <c r="F540" s="301">
        <v>239662966</v>
      </c>
      <c r="G540" s="292"/>
      <c r="H540" s="88"/>
      <c r="I540" s="88"/>
      <c r="J540" s="293"/>
      <c r="K540" s="88"/>
      <c r="L540" s="88"/>
      <c r="M540" s="88"/>
      <c r="N540" s="294"/>
      <c r="O540" s="88"/>
      <c r="P540" s="88"/>
      <c r="Q540" s="88"/>
      <c r="R540" s="88"/>
      <c r="S540" s="88"/>
      <c r="T540" s="88"/>
      <c r="U540" s="88"/>
      <c r="V540" s="88"/>
      <c r="W540" s="88"/>
      <c r="X540" s="88"/>
      <c r="Y540" s="88"/>
      <c r="Z540" s="88"/>
      <c r="AA540" s="88"/>
      <c r="AB540" s="88"/>
      <c r="AC540" s="88"/>
      <c r="AD540" s="88"/>
      <c r="AE540" s="88"/>
      <c r="AF540" s="88"/>
      <c r="AG540" s="88"/>
      <c r="AH540" s="88"/>
    </row>
    <row r="541" spans="1:34" ht="69.75" customHeight="1" x14ac:dyDescent="0.25">
      <c r="A541" s="953"/>
      <c r="B541" s="30" t="s">
        <v>975</v>
      </c>
      <c r="C541" s="30" t="s">
        <v>976</v>
      </c>
      <c r="D541" s="295" t="s">
        <v>381</v>
      </c>
      <c r="E541" s="300">
        <v>775730000</v>
      </c>
      <c r="F541" s="301">
        <v>372193921</v>
      </c>
      <c r="G541" s="292"/>
      <c r="H541" s="88"/>
      <c r="I541" s="88"/>
      <c r="J541" s="293"/>
      <c r="K541" s="88"/>
      <c r="L541" s="88"/>
      <c r="M541" s="88"/>
      <c r="N541" s="294"/>
      <c r="O541" s="88"/>
      <c r="P541" s="88"/>
      <c r="Q541" s="88"/>
      <c r="R541" s="88"/>
      <c r="S541" s="88"/>
      <c r="T541" s="88"/>
      <c r="U541" s="88"/>
      <c r="V541" s="88"/>
      <c r="W541" s="88"/>
      <c r="X541" s="88"/>
      <c r="Y541" s="88"/>
      <c r="Z541" s="88"/>
      <c r="AA541" s="88"/>
      <c r="AB541" s="88"/>
      <c r="AC541" s="88"/>
      <c r="AD541" s="88"/>
      <c r="AE541" s="88"/>
      <c r="AF541" s="88"/>
      <c r="AG541" s="88"/>
      <c r="AH541" s="88"/>
    </row>
    <row r="542" spans="1:34" ht="69.75" customHeight="1" x14ac:dyDescent="0.25">
      <c r="A542" s="952" t="s">
        <v>936</v>
      </c>
      <c r="B542" s="957" t="s">
        <v>963</v>
      </c>
      <c r="C542" s="957" t="s">
        <v>964</v>
      </c>
      <c r="D542" s="290" t="s">
        <v>344</v>
      </c>
      <c r="E542" s="300">
        <v>1038843096</v>
      </c>
      <c r="F542" s="301">
        <v>684597719</v>
      </c>
      <c r="G542" s="292"/>
      <c r="H542" s="88"/>
      <c r="I542" s="88"/>
      <c r="J542" s="293"/>
      <c r="K542" s="88"/>
      <c r="L542" s="88"/>
      <c r="M542" s="88"/>
      <c r="N542" s="294"/>
      <c r="O542" s="88"/>
      <c r="P542" s="88"/>
      <c r="Q542" s="88"/>
      <c r="R542" s="88"/>
      <c r="S542" s="88"/>
      <c r="T542" s="88"/>
      <c r="U542" s="88"/>
      <c r="V542" s="88"/>
      <c r="W542" s="88"/>
      <c r="X542" s="88"/>
      <c r="Y542" s="88"/>
      <c r="Z542" s="88"/>
      <c r="AA542" s="88"/>
      <c r="AB542" s="88"/>
      <c r="AC542" s="88"/>
      <c r="AD542" s="88"/>
      <c r="AE542" s="88"/>
      <c r="AF542" s="88"/>
      <c r="AG542" s="88"/>
      <c r="AH542" s="88"/>
    </row>
    <row r="543" spans="1:34" ht="69.75" customHeight="1" x14ac:dyDescent="0.25">
      <c r="A543" s="948"/>
      <c r="B543" s="694"/>
      <c r="C543" s="694"/>
      <c r="D543" s="290" t="s">
        <v>355</v>
      </c>
      <c r="E543" s="300">
        <v>141088000</v>
      </c>
      <c r="F543" s="301">
        <v>117867267</v>
      </c>
      <c r="G543" s="292"/>
      <c r="H543" s="88"/>
      <c r="I543" s="88"/>
      <c r="J543" s="293"/>
      <c r="K543" s="88"/>
      <c r="L543" s="88"/>
      <c r="M543" s="88"/>
      <c r="N543" s="294"/>
      <c r="O543" s="88"/>
      <c r="P543" s="88"/>
      <c r="Q543" s="88"/>
      <c r="R543" s="88"/>
      <c r="S543" s="88"/>
      <c r="T543" s="88"/>
      <c r="U543" s="88"/>
      <c r="V543" s="88"/>
      <c r="W543" s="88"/>
      <c r="X543" s="88"/>
      <c r="Y543" s="88"/>
      <c r="Z543" s="88"/>
      <c r="AA543" s="88"/>
      <c r="AB543" s="88"/>
      <c r="AC543" s="88"/>
      <c r="AD543" s="88"/>
      <c r="AE543" s="88"/>
      <c r="AF543" s="88"/>
      <c r="AG543" s="88"/>
      <c r="AH543" s="88"/>
    </row>
    <row r="544" spans="1:34" ht="69.75" customHeight="1" x14ac:dyDescent="0.25">
      <c r="A544" s="948"/>
      <c r="B544" s="733"/>
      <c r="C544" s="733"/>
      <c r="D544" s="290" t="s">
        <v>358</v>
      </c>
      <c r="E544" s="300">
        <v>33527600</v>
      </c>
      <c r="F544" s="301">
        <v>27932483</v>
      </c>
      <c r="G544" s="292"/>
      <c r="H544" s="88"/>
      <c r="I544" s="88"/>
      <c r="J544" s="293"/>
      <c r="K544" s="88"/>
      <c r="L544" s="88"/>
      <c r="M544" s="88"/>
      <c r="N544" s="294"/>
      <c r="O544" s="88"/>
      <c r="P544" s="88"/>
      <c r="Q544" s="88"/>
      <c r="R544" s="88"/>
      <c r="S544" s="88"/>
      <c r="T544" s="88"/>
      <c r="U544" s="88"/>
      <c r="V544" s="88"/>
      <c r="W544" s="88"/>
      <c r="X544" s="88"/>
      <c r="Y544" s="88"/>
      <c r="Z544" s="88"/>
      <c r="AA544" s="88"/>
      <c r="AB544" s="88"/>
      <c r="AC544" s="88"/>
      <c r="AD544" s="88"/>
      <c r="AE544" s="88"/>
      <c r="AF544" s="88"/>
      <c r="AG544" s="88"/>
      <c r="AH544" s="88"/>
    </row>
    <row r="545" spans="1:34" ht="69.75" customHeight="1" x14ac:dyDescent="0.25">
      <c r="A545" s="948"/>
      <c r="B545" s="965" t="s">
        <v>967</v>
      </c>
      <c r="C545" s="965" t="s">
        <v>968</v>
      </c>
      <c r="D545" s="295" t="s">
        <v>362</v>
      </c>
      <c r="E545" s="300">
        <v>86086000</v>
      </c>
      <c r="F545" s="301">
        <v>71216600</v>
      </c>
      <c r="G545" s="292"/>
      <c r="H545" s="88"/>
      <c r="I545" s="88"/>
      <c r="J545" s="293"/>
      <c r="K545" s="88"/>
      <c r="L545" s="88"/>
      <c r="M545" s="88"/>
      <c r="N545" s="294"/>
      <c r="O545" s="88"/>
      <c r="P545" s="88"/>
      <c r="Q545" s="88"/>
      <c r="R545" s="88"/>
      <c r="S545" s="88"/>
      <c r="T545" s="88"/>
      <c r="U545" s="88"/>
      <c r="V545" s="88"/>
      <c r="W545" s="88"/>
      <c r="X545" s="88"/>
      <c r="Y545" s="88"/>
      <c r="Z545" s="88"/>
      <c r="AA545" s="88"/>
      <c r="AB545" s="88"/>
      <c r="AC545" s="88"/>
      <c r="AD545" s="88"/>
      <c r="AE545" s="88"/>
      <c r="AF545" s="88"/>
      <c r="AG545" s="88"/>
      <c r="AH545" s="88"/>
    </row>
    <row r="546" spans="1:34" ht="69.75" customHeight="1" x14ac:dyDescent="0.25">
      <c r="A546" s="948"/>
      <c r="B546" s="694"/>
      <c r="C546" s="694"/>
      <c r="D546" s="295" t="s">
        <v>1148</v>
      </c>
      <c r="E546" s="300">
        <v>789292834</v>
      </c>
      <c r="F546" s="301">
        <v>636049513</v>
      </c>
      <c r="G546" s="292"/>
      <c r="H546" s="88"/>
      <c r="I546" s="88"/>
      <c r="J546" s="293"/>
      <c r="K546" s="88"/>
      <c r="L546" s="88"/>
      <c r="M546" s="88"/>
      <c r="N546" s="294"/>
      <c r="O546" s="88"/>
      <c r="P546" s="88"/>
      <c r="Q546" s="88"/>
      <c r="R546" s="88"/>
      <c r="S546" s="88"/>
      <c r="T546" s="88"/>
      <c r="U546" s="88"/>
      <c r="V546" s="88"/>
      <c r="W546" s="88"/>
      <c r="X546" s="88"/>
      <c r="Y546" s="88"/>
      <c r="Z546" s="88"/>
      <c r="AA546" s="88"/>
      <c r="AB546" s="88"/>
      <c r="AC546" s="88"/>
      <c r="AD546" s="88"/>
      <c r="AE546" s="88"/>
      <c r="AF546" s="88"/>
      <c r="AG546" s="88"/>
      <c r="AH546" s="88"/>
    </row>
    <row r="547" spans="1:34" ht="69.75" customHeight="1" x14ac:dyDescent="0.25">
      <c r="A547" s="948"/>
      <c r="B547" s="694"/>
      <c r="C547" s="694"/>
      <c r="D547" s="295" t="s">
        <v>1149</v>
      </c>
      <c r="E547" s="300">
        <v>335963368</v>
      </c>
      <c r="F547" s="301">
        <v>277123018</v>
      </c>
      <c r="G547" s="292"/>
      <c r="H547" s="88"/>
      <c r="I547" s="88"/>
      <c r="J547" s="293"/>
      <c r="K547" s="88"/>
      <c r="L547" s="88"/>
      <c r="M547" s="88"/>
      <c r="N547" s="294"/>
      <c r="O547" s="88"/>
      <c r="P547" s="88"/>
      <c r="Q547" s="88"/>
      <c r="R547" s="88"/>
      <c r="S547" s="88"/>
      <c r="T547" s="88"/>
      <c r="U547" s="88"/>
      <c r="V547" s="88"/>
      <c r="W547" s="88"/>
      <c r="X547" s="88"/>
      <c r="Y547" s="88"/>
      <c r="Z547" s="88"/>
      <c r="AA547" s="88"/>
      <c r="AB547" s="88"/>
      <c r="AC547" s="88"/>
      <c r="AD547" s="88"/>
      <c r="AE547" s="88"/>
      <c r="AF547" s="88"/>
      <c r="AG547" s="88"/>
      <c r="AH547" s="88"/>
    </row>
    <row r="548" spans="1:34" ht="69.75" customHeight="1" x14ac:dyDescent="0.25">
      <c r="A548" s="948"/>
      <c r="B548" s="733"/>
      <c r="C548" s="733"/>
      <c r="D548" s="295" t="s">
        <v>891</v>
      </c>
      <c r="E548" s="302">
        <v>729276096</v>
      </c>
      <c r="F548" s="301">
        <v>393648367</v>
      </c>
      <c r="G548" s="298"/>
      <c r="H548" s="88"/>
      <c r="I548" s="88"/>
      <c r="J548" s="293"/>
      <c r="K548" s="88"/>
      <c r="L548" s="88"/>
      <c r="M548" s="88"/>
      <c r="N548" s="294"/>
      <c r="O548" s="88"/>
      <c r="P548" s="88"/>
      <c r="Q548" s="88"/>
      <c r="R548" s="88"/>
      <c r="S548" s="88"/>
      <c r="T548" s="88"/>
      <c r="U548" s="88"/>
      <c r="V548" s="88"/>
      <c r="W548" s="88"/>
      <c r="X548" s="88"/>
      <c r="Y548" s="88"/>
      <c r="Z548" s="88"/>
      <c r="AA548" s="88"/>
      <c r="AB548" s="88"/>
      <c r="AC548" s="88"/>
      <c r="AD548" s="88"/>
      <c r="AE548" s="88"/>
      <c r="AF548" s="88"/>
      <c r="AG548" s="88"/>
      <c r="AH548" s="88"/>
    </row>
    <row r="549" spans="1:34" ht="69.75" customHeight="1" x14ac:dyDescent="0.25">
      <c r="A549" s="948"/>
      <c r="B549" s="30" t="s">
        <v>971</v>
      </c>
      <c r="C549" s="30" t="s">
        <v>972</v>
      </c>
      <c r="D549" s="295" t="s">
        <v>1150</v>
      </c>
      <c r="E549" s="300">
        <v>322224768</v>
      </c>
      <c r="F549" s="301">
        <v>268335400</v>
      </c>
      <c r="G549" s="292"/>
      <c r="H549" s="88"/>
      <c r="I549" s="88"/>
      <c r="J549" s="293"/>
      <c r="K549" s="88"/>
      <c r="L549" s="88"/>
      <c r="M549" s="88"/>
      <c r="N549" s="294"/>
      <c r="O549" s="88"/>
      <c r="P549" s="88"/>
      <c r="Q549" s="88"/>
      <c r="R549" s="88"/>
      <c r="S549" s="88"/>
      <c r="T549" s="88"/>
      <c r="U549" s="88"/>
      <c r="V549" s="88"/>
      <c r="W549" s="88"/>
      <c r="X549" s="88"/>
      <c r="Y549" s="88"/>
      <c r="Z549" s="88"/>
      <c r="AA549" s="88"/>
      <c r="AB549" s="88"/>
      <c r="AC549" s="88"/>
      <c r="AD549" s="88"/>
      <c r="AE549" s="88"/>
      <c r="AF549" s="88"/>
      <c r="AG549" s="88"/>
      <c r="AH549" s="88"/>
    </row>
    <row r="550" spans="1:34" ht="69.75" customHeight="1" x14ac:dyDescent="0.25">
      <c r="A550" s="953"/>
      <c r="B550" s="30" t="s">
        <v>975</v>
      </c>
      <c r="C550" s="30" t="s">
        <v>976</v>
      </c>
      <c r="D550" s="295" t="s">
        <v>381</v>
      </c>
      <c r="E550" s="300">
        <v>775730000</v>
      </c>
      <c r="F550" s="301">
        <v>428558828</v>
      </c>
      <c r="G550" s="292"/>
      <c r="H550" s="88"/>
      <c r="I550" s="88"/>
      <c r="J550" s="293"/>
      <c r="K550" s="88"/>
      <c r="L550" s="88"/>
      <c r="M550" s="88"/>
      <c r="N550" s="294"/>
      <c r="O550" s="88"/>
      <c r="P550" s="88"/>
      <c r="Q550" s="88"/>
      <c r="R550" s="88"/>
      <c r="S550" s="88"/>
      <c r="T550" s="88"/>
      <c r="U550" s="88"/>
      <c r="V550" s="88"/>
      <c r="W550" s="88"/>
      <c r="X550" s="88"/>
      <c r="Y550" s="88"/>
      <c r="Z550" s="88"/>
      <c r="AA550" s="88"/>
      <c r="AB550" s="88"/>
      <c r="AC550" s="88"/>
      <c r="AD550" s="88"/>
      <c r="AE550" s="88"/>
      <c r="AF550" s="88"/>
      <c r="AG550" s="88"/>
      <c r="AH550" s="88"/>
    </row>
    <row r="551" spans="1:34" ht="69.75" customHeight="1" x14ac:dyDescent="0.25">
      <c r="A551" s="952" t="s">
        <v>937</v>
      </c>
      <c r="B551" s="957" t="s">
        <v>963</v>
      </c>
      <c r="C551" s="957" t="s">
        <v>964</v>
      </c>
      <c r="D551" s="290" t="s">
        <v>344</v>
      </c>
      <c r="E551" s="300">
        <v>1038843096</v>
      </c>
      <c r="F551" s="301">
        <v>792766958</v>
      </c>
      <c r="G551" s="292"/>
      <c r="H551" s="88"/>
      <c r="I551" s="88"/>
      <c r="J551" s="293"/>
      <c r="K551" s="88"/>
      <c r="L551" s="88"/>
      <c r="M551" s="88"/>
      <c r="N551" s="294"/>
      <c r="O551" s="88"/>
      <c r="P551" s="88"/>
      <c r="Q551" s="88"/>
      <c r="R551" s="88"/>
      <c r="S551" s="88"/>
      <c r="T551" s="88"/>
      <c r="U551" s="88"/>
      <c r="V551" s="88"/>
      <c r="W551" s="88"/>
      <c r="X551" s="88"/>
      <c r="Y551" s="88"/>
      <c r="Z551" s="88"/>
      <c r="AA551" s="88"/>
      <c r="AB551" s="88"/>
      <c r="AC551" s="88"/>
      <c r="AD551" s="88"/>
      <c r="AE551" s="88"/>
      <c r="AF551" s="88"/>
      <c r="AG551" s="88"/>
      <c r="AH551" s="88"/>
    </row>
    <row r="552" spans="1:34" ht="69.75" customHeight="1" x14ac:dyDescent="0.25">
      <c r="A552" s="948"/>
      <c r="B552" s="694"/>
      <c r="C552" s="694"/>
      <c r="D552" s="290" t="s">
        <v>355</v>
      </c>
      <c r="E552" s="300">
        <v>141088000</v>
      </c>
      <c r="F552" s="301">
        <v>130506400</v>
      </c>
      <c r="G552" s="292"/>
      <c r="H552" s="88"/>
      <c r="I552" s="88"/>
      <c r="J552" s="293"/>
      <c r="K552" s="88"/>
      <c r="L552" s="88"/>
      <c r="M552" s="88"/>
      <c r="N552" s="294"/>
      <c r="O552" s="88"/>
      <c r="P552" s="88"/>
      <c r="Q552" s="88"/>
      <c r="R552" s="88"/>
      <c r="S552" s="88"/>
      <c r="T552" s="88"/>
      <c r="U552" s="88"/>
      <c r="V552" s="88"/>
      <c r="W552" s="88"/>
      <c r="X552" s="88"/>
      <c r="Y552" s="88"/>
      <c r="Z552" s="88"/>
      <c r="AA552" s="88"/>
      <c r="AB552" s="88"/>
      <c r="AC552" s="88"/>
      <c r="AD552" s="88"/>
      <c r="AE552" s="88"/>
      <c r="AF552" s="88"/>
      <c r="AG552" s="88"/>
      <c r="AH552" s="88"/>
    </row>
    <row r="553" spans="1:34" ht="69.75" customHeight="1" x14ac:dyDescent="0.25">
      <c r="A553" s="948"/>
      <c r="B553" s="733"/>
      <c r="C553" s="733"/>
      <c r="D553" s="290" t="s">
        <v>358</v>
      </c>
      <c r="E553" s="300">
        <v>33527600</v>
      </c>
      <c r="F553" s="301">
        <v>31012083</v>
      </c>
      <c r="G553" s="292"/>
      <c r="H553" s="88"/>
      <c r="I553" s="88"/>
      <c r="J553" s="293"/>
      <c r="K553" s="88"/>
      <c r="L553" s="88"/>
      <c r="M553" s="88"/>
      <c r="N553" s="294"/>
      <c r="O553" s="88"/>
      <c r="P553" s="88"/>
      <c r="Q553" s="88"/>
      <c r="R553" s="88"/>
      <c r="S553" s="88"/>
      <c r="T553" s="88"/>
      <c r="U553" s="88"/>
      <c r="V553" s="88"/>
      <c r="W553" s="88"/>
      <c r="X553" s="88"/>
      <c r="Y553" s="88"/>
      <c r="Z553" s="88"/>
      <c r="AA553" s="88"/>
      <c r="AB553" s="88"/>
      <c r="AC553" s="88"/>
      <c r="AD553" s="88"/>
      <c r="AE553" s="88"/>
      <c r="AF553" s="88"/>
      <c r="AG553" s="88"/>
      <c r="AH553" s="88"/>
    </row>
    <row r="554" spans="1:34" ht="69.75" customHeight="1" x14ac:dyDescent="0.25">
      <c r="A554" s="948"/>
      <c r="B554" s="965" t="s">
        <v>967</v>
      </c>
      <c r="C554" s="965" t="s">
        <v>968</v>
      </c>
      <c r="D554" s="295" t="s">
        <v>362</v>
      </c>
      <c r="E554" s="300">
        <v>86086000</v>
      </c>
      <c r="F554" s="301">
        <v>84390367</v>
      </c>
      <c r="G554" s="292"/>
      <c r="H554" s="88"/>
      <c r="I554" s="88"/>
      <c r="J554" s="293"/>
      <c r="K554" s="88"/>
      <c r="L554" s="88"/>
      <c r="M554" s="88"/>
      <c r="N554" s="294"/>
      <c r="O554" s="88"/>
      <c r="P554" s="88"/>
      <c r="Q554" s="88"/>
      <c r="R554" s="88"/>
      <c r="S554" s="88"/>
      <c r="T554" s="88"/>
      <c r="U554" s="88"/>
      <c r="V554" s="88"/>
      <c r="W554" s="88"/>
      <c r="X554" s="88"/>
      <c r="Y554" s="88"/>
      <c r="Z554" s="88"/>
      <c r="AA554" s="88"/>
      <c r="AB554" s="88"/>
      <c r="AC554" s="88"/>
      <c r="AD554" s="88"/>
      <c r="AE554" s="88"/>
      <c r="AF554" s="88"/>
      <c r="AG554" s="88"/>
      <c r="AH554" s="88"/>
    </row>
    <row r="555" spans="1:34" ht="69.75" customHeight="1" x14ac:dyDescent="0.25">
      <c r="A555" s="948"/>
      <c r="B555" s="694"/>
      <c r="C555" s="694"/>
      <c r="D555" s="295" t="s">
        <v>1148</v>
      </c>
      <c r="E555" s="300">
        <v>789292834</v>
      </c>
      <c r="F555" s="301">
        <v>733454504</v>
      </c>
      <c r="G555" s="292"/>
      <c r="H555" s="88"/>
      <c r="I555" s="88"/>
      <c r="J555" s="293"/>
      <c r="K555" s="88"/>
      <c r="L555" s="88"/>
      <c r="M555" s="88"/>
      <c r="N555" s="294"/>
      <c r="O555" s="88"/>
      <c r="P555" s="88"/>
      <c r="Q555" s="88"/>
      <c r="R555" s="88"/>
      <c r="S555" s="88"/>
      <c r="T555" s="88"/>
      <c r="U555" s="88"/>
      <c r="V555" s="88"/>
      <c r="W555" s="88"/>
      <c r="X555" s="88"/>
      <c r="Y555" s="88"/>
      <c r="Z555" s="88"/>
      <c r="AA555" s="88"/>
      <c r="AB555" s="88"/>
      <c r="AC555" s="88"/>
      <c r="AD555" s="88"/>
      <c r="AE555" s="88"/>
      <c r="AF555" s="88"/>
      <c r="AG555" s="88"/>
      <c r="AH555" s="88"/>
    </row>
    <row r="556" spans="1:34" ht="69.75" customHeight="1" x14ac:dyDescent="0.25">
      <c r="A556" s="948"/>
      <c r="B556" s="694"/>
      <c r="C556" s="694"/>
      <c r="D556" s="295" t="s">
        <v>1149</v>
      </c>
      <c r="E556" s="300">
        <v>335963368</v>
      </c>
      <c r="F556" s="301">
        <v>313201221</v>
      </c>
      <c r="G556" s="292"/>
      <c r="H556" s="88"/>
      <c r="I556" s="88"/>
      <c r="J556" s="293"/>
      <c r="K556" s="88"/>
      <c r="L556" s="88"/>
      <c r="M556" s="88"/>
      <c r="N556" s="294"/>
      <c r="O556" s="88"/>
      <c r="P556" s="88"/>
      <c r="Q556" s="88"/>
      <c r="R556" s="88"/>
      <c r="S556" s="88"/>
      <c r="T556" s="88"/>
      <c r="U556" s="88"/>
      <c r="V556" s="88"/>
      <c r="W556" s="88"/>
      <c r="X556" s="88"/>
      <c r="Y556" s="88"/>
      <c r="Z556" s="88"/>
      <c r="AA556" s="88"/>
      <c r="AB556" s="88"/>
      <c r="AC556" s="88"/>
      <c r="AD556" s="88"/>
      <c r="AE556" s="88"/>
      <c r="AF556" s="88"/>
      <c r="AG556" s="88"/>
      <c r="AH556" s="88"/>
    </row>
    <row r="557" spans="1:34" ht="69.75" customHeight="1" x14ac:dyDescent="0.25">
      <c r="A557" s="948"/>
      <c r="B557" s="733"/>
      <c r="C557" s="733"/>
      <c r="D557" s="295" t="s">
        <v>891</v>
      </c>
      <c r="E557" s="302">
        <v>729276096</v>
      </c>
      <c r="F557" s="301">
        <v>438481100</v>
      </c>
      <c r="G557" s="298"/>
      <c r="H557" s="88"/>
      <c r="I557" s="88"/>
      <c r="J557" s="293"/>
      <c r="K557" s="88"/>
      <c r="L557" s="88"/>
      <c r="M557" s="88"/>
      <c r="N557" s="294"/>
      <c r="O557" s="88"/>
      <c r="P557" s="88"/>
      <c r="Q557" s="88"/>
      <c r="R557" s="88"/>
      <c r="S557" s="88"/>
      <c r="T557" s="88"/>
      <c r="U557" s="88"/>
      <c r="V557" s="88"/>
      <c r="W557" s="88"/>
      <c r="X557" s="88"/>
      <c r="Y557" s="88"/>
      <c r="Z557" s="88"/>
      <c r="AA557" s="88"/>
      <c r="AB557" s="88"/>
      <c r="AC557" s="88"/>
      <c r="AD557" s="88"/>
      <c r="AE557" s="88"/>
      <c r="AF557" s="88"/>
      <c r="AG557" s="88"/>
      <c r="AH557" s="88"/>
    </row>
    <row r="558" spans="1:34" ht="69.75" customHeight="1" x14ac:dyDescent="0.25">
      <c r="A558" s="948"/>
      <c r="B558" s="30" t="s">
        <v>971</v>
      </c>
      <c r="C558" s="30" t="s">
        <v>972</v>
      </c>
      <c r="D558" s="295" t="s">
        <v>1150</v>
      </c>
      <c r="E558" s="300">
        <v>322224768</v>
      </c>
      <c r="F558" s="301">
        <v>303081400</v>
      </c>
      <c r="G558" s="292"/>
      <c r="H558" s="88"/>
      <c r="I558" s="88"/>
      <c r="J558" s="293"/>
      <c r="K558" s="88"/>
      <c r="L558" s="88"/>
      <c r="M558" s="88"/>
      <c r="N558" s="294"/>
      <c r="O558" s="88"/>
      <c r="P558" s="88"/>
      <c r="Q558" s="88"/>
      <c r="R558" s="88"/>
      <c r="S558" s="88"/>
      <c r="T558" s="88"/>
      <c r="U558" s="88"/>
      <c r="V558" s="88"/>
      <c r="W558" s="88"/>
      <c r="X558" s="88"/>
      <c r="Y558" s="88"/>
      <c r="Z558" s="88"/>
      <c r="AA558" s="88"/>
      <c r="AB558" s="88"/>
      <c r="AC558" s="88"/>
      <c r="AD558" s="88"/>
      <c r="AE558" s="88"/>
      <c r="AF558" s="88"/>
      <c r="AG558" s="88"/>
      <c r="AH558" s="88"/>
    </row>
    <row r="559" spans="1:34" ht="69.75" customHeight="1" x14ac:dyDescent="0.25">
      <c r="A559" s="953"/>
      <c r="B559" s="30" t="s">
        <v>975</v>
      </c>
      <c r="C559" s="30" t="s">
        <v>976</v>
      </c>
      <c r="D559" s="295" t="s">
        <v>381</v>
      </c>
      <c r="E559" s="300">
        <v>775730000</v>
      </c>
      <c r="F559" s="301">
        <v>495567917</v>
      </c>
      <c r="G559" s="292"/>
      <c r="H559" s="88"/>
      <c r="I559" s="88"/>
      <c r="J559" s="293"/>
      <c r="K559" s="88"/>
      <c r="L559" s="88"/>
      <c r="M559" s="88"/>
      <c r="N559" s="294"/>
      <c r="O559" s="88"/>
      <c r="P559" s="88"/>
      <c r="Q559" s="88"/>
      <c r="R559" s="88"/>
      <c r="S559" s="88"/>
      <c r="T559" s="88"/>
      <c r="U559" s="88"/>
      <c r="V559" s="88"/>
      <c r="W559" s="88"/>
      <c r="X559" s="88"/>
      <c r="Y559" s="88"/>
      <c r="Z559" s="88"/>
      <c r="AA559" s="88"/>
      <c r="AB559" s="88"/>
      <c r="AC559" s="88"/>
      <c r="AD559" s="88"/>
      <c r="AE559" s="88"/>
      <c r="AF559" s="88"/>
      <c r="AG559" s="88"/>
      <c r="AH559" s="88"/>
    </row>
    <row r="560" spans="1:34" ht="17.25" customHeight="1" x14ac:dyDescent="0.25">
      <c r="A560" s="303"/>
      <c r="B560" s="304"/>
      <c r="C560" s="304"/>
      <c r="D560" s="305"/>
      <c r="E560" s="306"/>
      <c r="F560" s="306"/>
      <c r="G560" s="307"/>
      <c r="H560" s="88"/>
      <c r="I560" s="88"/>
      <c r="J560" s="293"/>
      <c r="K560" s="88"/>
      <c r="L560" s="88"/>
      <c r="M560" s="88"/>
      <c r="N560" s="294"/>
      <c r="O560" s="88"/>
      <c r="P560" s="88"/>
      <c r="Q560" s="88"/>
      <c r="R560" s="88"/>
      <c r="S560" s="88"/>
      <c r="T560" s="88"/>
      <c r="U560" s="88"/>
      <c r="V560" s="88"/>
      <c r="W560" s="88"/>
      <c r="X560" s="88"/>
      <c r="Y560" s="88"/>
      <c r="Z560" s="88"/>
      <c r="AA560" s="88"/>
      <c r="AB560" s="88"/>
      <c r="AC560" s="88"/>
      <c r="AD560" s="88"/>
      <c r="AE560" s="88"/>
      <c r="AF560" s="88"/>
      <c r="AG560" s="88"/>
      <c r="AH560" s="88"/>
    </row>
    <row r="561" spans="1:34" ht="15.75" customHeight="1" x14ac:dyDescent="0.3">
      <c r="A561" s="956" t="s">
        <v>1157</v>
      </c>
      <c r="B561" s="679"/>
      <c r="C561" s="679"/>
      <c r="D561" s="679"/>
      <c r="E561" s="679"/>
      <c r="F561" s="679"/>
      <c r="G561" s="721"/>
      <c r="J561" s="125"/>
      <c r="N561" s="162"/>
    </row>
    <row r="562" spans="1:34" ht="66" customHeight="1" x14ac:dyDescent="0.25">
      <c r="A562" s="163" t="s">
        <v>27</v>
      </c>
      <c r="B562" s="136" t="s">
        <v>950</v>
      </c>
      <c r="C562" s="136" t="s">
        <v>951</v>
      </c>
      <c r="D562" s="136" t="s">
        <v>1144</v>
      </c>
      <c r="E562" s="136" t="s">
        <v>1158</v>
      </c>
      <c r="F562" s="136" t="s">
        <v>1159</v>
      </c>
      <c r="G562" s="279" t="s">
        <v>1147</v>
      </c>
      <c r="J562" s="125"/>
      <c r="N562" s="162"/>
    </row>
    <row r="563" spans="1:34" ht="69.75" customHeight="1" x14ac:dyDescent="0.25">
      <c r="A563" s="952" t="s">
        <v>939</v>
      </c>
      <c r="B563" s="957" t="s">
        <v>963</v>
      </c>
      <c r="C563" s="957" t="s">
        <v>964</v>
      </c>
      <c r="D563" s="290" t="s">
        <v>344</v>
      </c>
      <c r="E563" s="291">
        <v>574654000</v>
      </c>
      <c r="F563" s="61">
        <v>0</v>
      </c>
      <c r="G563" s="292"/>
      <c r="H563" s="88"/>
      <c r="I563" s="88"/>
      <c r="J563" s="293"/>
      <c r="K563" s="88"/>
      <c r="L563" s="88"/>
      <c r="M563" s="88"/>
      <c r="N563" s="294"/>
      <c r="O563" s="88"/>
      <c r="P563" s="88"/>
      <c r="Q563" s="88"/>
      <c r="R563" s="88"/>
      <c r="S563" s="88"/>
      <c r="T563" s="88"/>
      <c r="U563" s="88"/>
      <c r="V563" s="88"/>
      <c r="W563" s="88"/>
      <c r="X563" s="88"/>
      <c r="Y563" s="88"/>
      <c r="Z563" s="88"/>
      <c r="AA563" s="88"/>
      <c r="AB563" s="88"/>
      <c r="AC563" s="88"/>
      <c r="AD563" s="88"/>
      <c r="AE563" s="88"/>
      <c r="AF563" s="88"/>
      <c r="AG563" s="88"/>
      <c r="AH563" s="88"/>
    </row>
    <row r="564" spans="1:34" ht="69.75" customHeight="1" x14ac:dyDescent="0.25">
      <c r="A564" s="948"/>
      <c r="B564" s="694"/>
      <c r="C564" s="694"/>
      <c r="D564" s="290" t="s">
        <v>355</v>
      </c>
      <c r="E564" s="291">
        <v>198130000</v>
      </c>
      <c r="F564" s="61">
        <v>0</v>
      </c>
      <c r="G564" s="292"/>
      <c r="H564" s="88"/>
      <c r="I564" s="88"/>
      <c r="J564" s="293"/>
      <c r="K564" s="88"/>
      <c r="L564" s="88"/>
      <c r="M564" s="88"/>
      <c r="N564" s="294"/>
      <c r="O564" s="88"/>
      <c r="P564" s="88"/>
      <c r="Q564" s="88"/>
      <c r="R564" s="88"/>
      <c r="S564" s="88"/>
      <c r="T564" s="88"/>
      <c r="U564" s="88"/>
      <c r="V564" s="88"/>
      <c r="W564" s="88"/>
      <c r="X564" s="88"/>
      <c r="Y564" s="88"/>
      <c r="Z564" s="88"/>
      <c r="AA564" s="88"/>
      <c r="AB564" s="88"/>
      <c r="AC564" s="88"/>
      <c r="AD564" s="88"/>
      <c r="AE564" s="88"/>
      <c r="AF564" s="88"/>
      <c r="AG564" s="88"/>
      <c r="AH564" s="88"/>
    </row>
    <row r="565" spans="1:34" ht="69.75" customHeight="1" x14ac:dyDescent="0.25">
      <c r="A565" s="948"/>
      <c r="B565" s="733"/>
      <c r="C565" s="733"/>
      <c r="D565" s="290" t="s">
        <v>358</v>
      </c>
      <c r="E565" s="291">
        <v>34285000</v>
      </c>
      <c r="F565" s="61">
        <v>0</v>
      </c>
      <c r="G565" s="292"/>
      <c r="H565" s="88"/>
      <c r="I565" s="88"/>
      <c r="J565" s="293"/>
      <c r="K565" s="88"/>
      <c r="L565" s="88"/>
      <c r="M565" s="88"/>
      <c r="N565" s="294"/>
      <c r="O565" s="88"/>
      <c r="P565" s="88"/>
      <c r="Q565" s="88"/>
      <c r="R565" s="88"/>
      <c r="S565" s="88"/>
      <c r="T565" s="88"/>
      <c r="U565" s="88"/>
      <c r="V565" s="88"/>
      <c r="W565" s="88"/>
      <c r="X565" s="88"/>
      <c r="Y565" s="88"/>
      <c r="Z565" s="88"/>
      <c r="AA565" s="88"/>
      <c r="AB565" s="88"/>
      <c r="AC565" s="88"/>
      <c r="AD565" s="88"/>
      <c r="AE565" s="88"/>
      <c r="AF565" s="88"/>
      <c r="AG565" s="88"/>
      <c r="AH565" s="88"/>
    </row>
    <row r="566" spans="1:34" ht="69.75" customHeight="1" x14ac:dyDescent="0.25">
      <c r="A566" s="948"/>
      <c r="B566" s="965" t="s">
        <v>967</v>
      </c>
      <c r="C566" s="965" t="s">
        <v>968</v>
      </c>
      <c r="D566" s="295" t="s">
        <v>362</v>
      </c>
      <c r="E566" s="291">
        <v>68299000</v>
      </c>
      <c r="F566" s="61">
        <v>0</v>
      </c>
      <c r="G566" s="292"/>
      <c r="H566" s="88"/>
      <c r="I566" s="88"/>
      <c r="J566" s="293"/>
      <c r="K566" s="88"/>
      <c r="L566" s="88"/>
      <c r="M566" s="88"/>
      <c r="N566" s="294"/>
      <c r="O566" s="88"/>
      <c r="P566" s="88"/>
      <c r="Q566" s="88"/>
      <c r="R566" s="88"/>
      <c r="S566" s="88"/>
      <c r="T566" s="88"/>
      <c r="U566" s="88"/>
      <c r="V566" s="88"/>
      <c r="W566" s="88"/>
      <c r="X566" s="88"/>
      <c r="Y566" s="88"/>
      <c r="Z566" s="88"/>
      <c r="AA566" s="88"/>
      <c r="AB566" s="88"/>
      <c r="AC566" s="88"/>
      <c r="AD566" s="88"/>
      <c r="AE566" s="88"/>
      <c r="AF566" s="88"/>
      <c r="AG566" s="88"/>
      <c r="AH566" s="88"/>
    </row>
    <row r="567" spans="1:34" ht="69.75" customHeight="1" x14ac:dyDescent="0.25">
      <c r="A567" s="948"/>
      <c r="B567" s="694"/>
      <c r="C567" s="694"/>
      <c r="D567" s="295" t="s">
        <v>1148</v>
      </c>
      <c r="E567" s="291">
        <v>699388000</v>
      </c>
      <c r="F567" s="61">
        <v>0</v>
      </c>
      <c r="G567" s="292"/>
      <c r="H567" s="88"/>
      <c r="I567" s="88"/>
      <c r="J567" s="293"/>
      <c r="K567" s="88"/>
      <c r="L567" s="88"/>
      <c r="M567" s="88"/>
      <c r="N567" s="294"/>
      <c r="O567" s="88"/>
      <c r="P567" s="88"/>
      <c r="Q567" s="88"/>
      <c r="R567" s="88"/>
      <c r="S567" s="88"/>
      <c r="T567" s="88"/>
      <c r="U567" s="88"/>
      <c r="V567" s="88"/>
      <c r="W567" s="88"/>
      <c r="X567" s="88"/>
      <c r="Y567" s="88"/>
      <c r="Z567" s="88"/>
      <c r="AA567" s="88"/>
      <c r="AB567" s="88"/>
      <c r="AC567" s="88"/>
      <c r="AD567" s="88"/>
      <c r="AE567" s="88"/>
      <c r="AF567" s="88"/>
      <c r="AG567" s="88"/>
      <c r="AH567" s="88"/>
    </row>
    <row r="568" spans="1:34" ht="69.75" customHeight="1" x14ac:dyDescent="0.25">
      <c r="A568" s="948"/>
      <c r="B568" s="694"/>
      <c r="C568" s="694"/>
      <c r="D568" s="295" t="s">
        <v>1149</v>
      </c>
      <c r="E568" s="291">
        <v>349839000</v>
      </c>
      <c r="F568" s="61">
        <v>0</v>
      </c>
      <c r="G568" s="292"/>
      <c r="H568" s="88"/>
      <c r="I568" s="88"/>
      <c r="J568" s="293"/>
      <c r="K568" s="88"/>
      <c r="L568" s="88"/>
      <c r="M568" s="88"/>
      <c r="N568" s="294"/>
      <c r="O568" s="88"/>
      <c r="P568" s="88"/>
      <c r="Q568" s="88"/>
      <c r="R568" s="88"/>
      <c r="S568" s="88"/>
      <c r="T568" s="88"/>
      <c r="U568" s="88"/>
      <c r="V568" s="88"/>
      <c r="W568" s="88"/>
      <c r="X568" s="88"/>
      <c r="Y568" s="88"/>
      <c r="Z568" s="88"/>
      <c r="AA568" s="88"/>
      <c r="AB568" s="88"/>
      <c r="AC568" s="88"/>
      <c r="AD568" s="88"/>
      <c r="AE568" s="88"/>
      <c r="AF568" s="88"/>
      <c r="AG568" s="88"/>
      <c r="AH568" s="88"/>
    </row>
    <row r="569" spans="1:34" ht="69.75" customHeight="1" x14ac:dyDescent="0.25">
      <c r="A569" s="948"/>
      <c r="B569" s="733"/>
      <c r="C569" s="733"/>
      <c r="D569" s="295" t="s">
        <v>891</v>
      </c>
      <c r="E569" s="296">
        <v>482999000</v>
      </c>
      <c r="F569" s="297">
        <v>0</v>
      </c>
      <c r="G569" s="298"/>
      <c r="H569" s="88"/>
      <c r="I569" s="88"/>
      <c r="J569" s="293"/>
      <c r="K569" s="88"/>
      <c r="L569" s="88"/>
      <c r="M569" s="88"/>
      <c r="N569" s="294"/>
      <c r="O569" s="88"/>
      <c r="P569" s="88"/>
      <c r="Q569" s="88"/>
      <c r="R569" s="88"/>
      <c r="S569" s="88"/>
      <c r="T569" s="88"/>
      <c r="U569" s="88"/>
      <c r="V569" s="88"/>
      <c r="W569" s="88"/>
      <c r="X569" s="88"/>
      <c r="Y569" s="88"/>
      <c r="Z569" s="88"/>
      <c r="AA569" s="88"/>
      <c r="AB569" s="88"/>
      <c r="AC569" s="88"/>
      <c r="AD569" s="88"/>
      <c r="AE569" s="88"/>
      <c r="AF569" s="88"/>
      <c r="AG569" s="88"/>
      <c r="AH569" s="88"/>
    </row>
    <row r="570" spans="1:34" ht="69.75" customHeight="1" x14ac:dyDescent="0.25">
      <c r="A570" s="948"/>
      <c r="B570" s="30" t="s">
        <v>971</v>
      </c>
      <c r="C570" s="30" t="s">
        <v>972</v>
      </c>
      <c r="D570" s="295" t="s">
        <v>1150</v>
      </c>
      <c r="E570" s="291">
        <v>250350000</v>
      </c>
      <c r="F570" s="61">
        <v>0</v>
      </c>
      <c r="G570" s="292"/>
      <c r="H570" s="88"/>
      <c r="I570" s="88"/>
      <c r="J570" s="293"/>
      <c r="K570" s="88"/>
      <c r="L570" s="88"/>
      <c r="M570" s="88"/>
      <c r="N570" s="294"/>
      <c r="O570" s="88"/>
      <c r="P570" s="88"/>
      <c r="Q570" s="88"/>
      <c r="R570" s="88"/>
      <c r="S570" s="88"/>
      <c r="T570" s="88"/>
      <c r="U570" s="88"/>
      <c r="V570" s="88"/>
      <c r="W570" s="88"/>
      <c r="X570" s="88"/>
      <c r="Y570" s="88"/>
      <c r="Z570" s="88"/>
      <c r="AA570" s="88"/>
      <c r="AB570" s="88"/>
      <c r="AC570" s="88"/>
      <c r="AD570" s="88"/>
      <c r="AE570" s="88"/>
      <c r="AF570" s="88"/>
      <c r="AG570" s="88"/>
      <c r="AH570" s="88"/>
    </row>
    <row r="571" spans="1:34" ht="69.75" customHeight="1" x14ac:dyDescent="0.25">
      <c r="A571" s="953"/>
      <c r="B571" s="30" t="s">
        <v>975</v>
      </c>
      <c r="C571" s="30" t="s">
        <v>976</v>
      </c>
      <c r="D571" s="295" t="s">
        <v>381</v>
      </c>
      <c r="E571" s="291">
        <v>801561000</v>
      </c>
      <c r="F571" s="61">
        <v>0</v>
      </c>
      <c r="G571" s="292"/>
      <c r="H571" s="88"/>
      <c r="I571" s="88"/>
      <c r="J571" s="293"/>
      <c r="K571" s="88"/>
      <c r="L571" s="88"/>
      <c r="M571" s="88"/>
      <c r="N571" s="294"/>
      <c r="O571" s="88"/>
      <c r="P571" s="88"/>
      <c r="Q571" s="88"/>
      <c r="R571" s="88"/>
      <c r="S571" s="88"/>
      <c r="T571" s="88"/>
      <c r="U571" s="88"/>
      <c r="V571" s="88"/>
      <c r="W571" s="88"/>
      <c r="X571" s="88"/>
      <c r="Y571" s="88"/>
      <c r="Z571" s="88"/>
      <c r="AA571" s="88"/>
      <c r="AB571" s="88"/>
      <c r="AC571" s="88"/>
      <c r="AD571" s="88"/>
      <c r="AE571" s="88"/>
      <c r="AF571" s="88"/>
      <c r="AG571" s="88"/>
      <c r="AH571" s="88"/>
    </row>
    <row r="572" spans="1:34" ht="69.75" customHeight="1" x14ac:dyDescent="0.25">
      <c r="A572" s="952" t="s">
        <v>940</v>
      </c>
      <c r="B572" s="957" t="s">
        <v>963</v>
      </c>
      <c r="C572" s="957" t="s">
        <v>964</v>
      </c>
      <c r="D572" s="290" t="s">
        <v>344</v>
      </c>
      <c r="E572" s="291">
        <v>574654000</v>
      </c>
      <c r="F572" s="61">
        <v>0</v>
      </c>
      <c r="G572" s="292"/>
      <c r="H572" s="88"/>
      <c r="I572" s="88"/>
      <c r="J572" s="293"/>
      <c r="K572" s="88"/>
      <c r="L572" s="88"/>
      <c r="M572" s="88"/>
      <c r="N572" s="294"/>
      <c r="O572" s="88"/>
      <c r="P572" s="88"/>
      <c r="Q572" s="88"/>
      <c r="R572" s="88"/>
      <c r="S572" s="88"/>
      <c r="T572" s="88"/>
      <c r="U572" s="88"/>
      <c r="V572" s="88"/>
      <c r="W572" s="88"/>
      <c r="X572" s="88"/>
      <c r="Y572" s="88"/>
      <c r="Z572" s="88"/>
      <c r="AA572" s="88"/>
      <c r="AB572" s="88"/>
      <c r="AC572" s="88"/>
      <c r="AD572" s="88"/>
      <c r="AE572" s="88"/>
      <c r="AF572" s="88"/>
      <c r="AG572" s="88"/>
      <c r="AH572" s="88"/>
    </row>
    <row r="573" spans="1:34" ht="69.75" customHeight="1" x14ac:dyDescent="0.25">
      <c r="A573" s="948"/>
      <c r="B573" s="694"/>
      <c r="C573" s="694"/>
      <c r="D573" s="290" t="s">
        <v>355</v>
      </c>
      <c r="E573" s="291">
        <v>198130000</v>
      </c>
      <c r="F573" s="61">
        <v>0</v>
      </c>
      <c r="G573" s="292"/>
      <c r="H573" s="88"/>
      <c r="I573" s="88"/>
      <c r="J573" s="293"/>
      <c r="K573" s="88"/>
      <c r="L573" s="88"/>
      <c r="M573" s="88"/>
      <c r="N573" s="294"/>
      <c r="O573" s="88"/>
      <c r="P573" s="88"/>
      <c r="Q573" s="88"/>
      <c r="R573" s="88"/>
      <c r="S573" s="88"/>
      <c r="T573" s="88"/>
      <c r="U573" s="88"/>
      <c r="V573" s="88"/>
      <c r="W573" s="88"/>
      <c r="X573" s="88"/>
      <c r="Y573" s="88"/>
      <c r="Z573" s="88"/>
      <c r="AA573" s="88"/>
      <c r="AB573" s="88"/>
      <c r="AC573" s="88"/>
      <c r="AD573" s="88"/>
      <c r="AE573" s="88"/>
      <c r="AF573" s="88"/>
      <c r="AG573" s="88"/>
      <c r="AH573" s="88"/>
    </row>
    <row r="574" spans="1:34" ht="69.75" customHeight="1" x14ac:dyDescent="0.25">
      <c r="A574" s="948"/>
      <c r="B574" s="733"/>
      <c r="C574" s="733"/>
      <c r="D574" s="290" t="s">
        <v>358</v>
      </c>
      <c r="E574" s="291">
        <v>34285000</v>
      </c>
      <c r="F574" s="61">
        <v>0</v>
      </c>
      <c r="G574" s="292"/>
      <c r="H574" s="88"/>
      <c r="I574" s="88"/>
      <c r="J574" s="293"/>
      <c r="K574" s="88"/>
      <c r="L574" s="88"/>
      <c r="M574" s="88"/>
      <c r="N574" s="294"/>
      <c r="O574" s="88"/>
      <c r="P574" s="88"/>
      <c r="Q574" s="88"/>
      <c r="R574" s="88"/>
      <c r="S574" s="88"/>
      <c r="T574" s="88"/>
      <c r="U574" s="88"/>
      <c r="V574" s="88"/>
      <c r="W574" s="88"/>
      <c r="X574" s="88"/>
      <c r="Y574" s="88"/>
      <c r="Z574" s="88"/>
      <c r="AA574" s="88"/>
      <c r="AB574" s="88"/>
      <c r="AC574" s="88"/>
      <c r="AD574" s="88"/>
      <c r="AE574" s="88"/>
      <c r="AF574" s="88"/>
      <c r="AG574" s="88"/>
      <c r="AH574" s="88"/>
    </row>
    <row r="575" spans="1:34" ht="69.75" customHeight="1" x14ac:dyDescent="0.25">
      <c r="A575" s="948"/>
      <c r="B575" s="965" t="s">
        <v>967</v>
      </c>
      <c r="C575" s="965" t="s">
        <v>968</v>
      </c>
      <c r="D575" s="295" t="s">
        <v>362</v>
      </c>
      <c r="E575" s="291">
        <v>68299000</v>
      </c>
      <c r="F575" s="61">
        <v>0</v>
      </c>
      <c r="G575" s="292"/>
      <c r="H575" s="88"/>
      <c r="I575" s="88"/>
      <c r="J575" s="293"/>
      <c r="K575" s="88"/>
      <c r="L575" s="88"/>
      <c r="M575" s="88"/>
      <c r="N575" s="294"/>
      <c r="O575" s="88"/>
      <c r="P575" s="88"/>
      <c r="Q575" s="88"/>
      <c r="R575" s="88"/>
      <c r="S575" s="88"/>
      <c r="T575" s="88"/>
      <c r="U575" s="88"/>
      <c r="V575" s="88"/>
      <c r="W575" s="88"/>
      <c r="X575" s="88"/>
      <c r="Y575" s="88"/>
      <c r="Z575" s="88"/>
      <c r="AA575" s="88"/>
      <c r="AB575" s="88"/>
      <c r="AC575" s="88"/>
      <c r="AD575" s="88"/>
      <c r="AE575" s="88"/>
      <c r="AF575" s="88"/>
      <c r="AG575" s="88"/>
      <c r="AH575" s="88"/>
    </row>
    <row r="576" spans="1:34" ht="69.75" customHeight="1" x14ac:dyDescent="0.25">
      <c r="A576" s="948"/>
      <c r="B576" s="694"/>
      <c r="C576" s="694"/>
      <c r="D576" s="295" t="s">
        <v>1148</v>
      </c>
      <c r="E576" s="291">
        <v>699388000</v>
      </c>
      <c r="F576" s="61">
        <v>0</v>
      </c>
      <c r="G576" s="292"/>
      <c r="H576" s="88"/>
      <c r="I576" s="88"/>
      <c r="J576" s="293"/>
      <c r="K576" s="88"/>
      <c r="L576" s="88"/>
      <c r="M576" s="88"/>
      <c r="N576" s="294"/>
      <c r="O576" s="88"/>
      <c r="P576" s="88"/>
      <c r="Q576" s="88"/>
      <c r="R576" s="88"/>
      <c r="S576" s="88"/>
      <c r="T576" s="88"/>
      <c r="U576" s="88"/>
      <c r="V576" s="88"/>
      <c r="W576" s="88"/>
      <c r="X576" s="88"/>
      <c r="Y576" s="88"/>
      <c r="Z576" s="88"/>
      <c r="AA576" s="88"/>
      <c r="AB576" s="88"/>
      <c r="AC576" s="88"/>
      <c r="AD576" s="88"/>
      <c r="AE576" s="88"/>
      <c r="AF576" s="88"/>
      <c r="AG576" s="88"/>
      <c r="AH576" s="88"/>
    </row>
    <row r="577" spans="1:34" ht="69.75" customHeight="1" x14ac:dyDescent="0.25">
      <c r="A577" s="948"/>
      <c r="B577" s="694"/>
      <c r="C577" s="694"/>
      <c r="D577" s="295" t="s">
        <v>1149</v>
      </c>
      <c r="E577" s="291">
        <v>349839000</v>
      </c>
      <c r="F577" s="61">
        <v>0</v>
      </c>
      <c r="G577" s="292"/>
      <c r="H577" s="88"/>
      <c r="I577" s="88"/>
      <c r="J577" s="293"/>
      <c r="K577" s="88"/>
      <c r="L577" s="88"/>
      <c r="M577" s="88"/>
      <c r="N577" s="294"/>
      <c r="O577" s="88"/>
      <c r="P577" s="88"/>
      <c r="Q577" s="88"/>
      <c r="R577" s="88"/>
      <c r="S577" s="88"/>
      <c r="T577" s="88"/>
      <c r="U577" s="88"/>
      <c r="V577" s="88"/>
      <c r="W577" s="88"/>
      <c r="X577" s="88"/>
      <c r="Y577" s="88"/>
      <c r="Z577" s="88"/>
      <c r="AA577" s="88"/>
      <c r="AB577" s="88"/>
      <c r="AC577" s="88"/>
      <c r="AD577" s="88"/>
      <c r="AE577" s="88"/>
      <c r="AF577" s="88"/>
      <c r="AG577" s="88"/>
      <c r="AH577" s="88"/>
    </row>
    <row r="578" spans="1:34" ht="69.75" customHeight="1" x14ac:dyDescent="0.25">
      <c r="A578" s="948"/>
      <c r="B578" s="733"/>
      <c r="C578" s="733"/>
      <c r="D578" s="295" t="s">
        <v>891</v>
      </c>
      <c r="E578" s="296">
        <v>482999000</v>
      </c>
      <c r="F578" s="297">
        <v>0</v>
      </c>
      <c r="G578" s="298"/>
      <c r="H578" s="88"/>
      <c r="I578" s="88"/>
      <c r="J578" s="293"/>
      <c r="K578" s="88"/>
      <c r="L578" s="88"/>
      <c r="M578" s="88"/>
      <c r="N578" s="294"/>
      <c r="O578" s="88"/>
      <c r="P578" s="88"/>
      <c r="Q578" s="88"/>
      <c r="R578" s="88"/>
      <c r="S578" s="88"/>
      <c r="T578" s="88"/>
      <c r="U578" s="88"/>
      <c r="V578" s="88"/>
      <c r="W578" s="88"/>
      <c r="X578" s="88"/>
      <c r="Y578" s="88"/>
      <c r="Z578" s="88"/>
      <c r="AA578" s="88"/>
      <c r="AB578" s="88"/>
      <c r="AC578" s="88"/>
      <c r="AD578" s="88"/>
      <c r="AE578" s="88"/>
      <c r="AF578" s="88"/>
      <c r="AG578" s="88"/>
      <c r="AH578" s="88"/>
    </row>
    <row r="579" spans="1:34" ht="69.75" customHeight="1" x14ac:dyDescent="0.25">
      <c r="A579" s="948"/>
      <c r="B579" s="30" t="s">
        <v>971</v>
      </c>
      <c r="C579" s="30" t="s">
        <v>972</v>
      </c>
      <c r="D579" s="295" t="s">
        <v>1150</v>
      </c>
      <c r="E579" s="291">
        <v>250350000</v>
      </c>
      <c r="F579" s="61">
        <v>0</v>
      </c>
      <c r="G579" s="292"/>
      <c r="H579" s="88"/>
      <c r="I579" s="88"/>
      <c r="J579" s="293"/>
      <c r="K579" s="88"/>
      <c r="L579" s="88"/>
      <c r="M579" s="88"/>
      <c r="N579" s="294"/>
      <c r="O579" s="88"/>
      <c r="P579" s="88"/>
      <c r="Q579" s="88"/>
      <c r="R579" s="88"/>
      <c r="S579" s="88"/>
      <c r="T579" s="88"/>
      <c r="U579" s="88"/>
      <c r="V579" s="88"/>
      <c r="W579" s="88"/>
      <c r="X579" s="88"/>
      <c r="Y579" s="88"/>
      <c r="Z579" s="88"/>
      <c r="AA579" s="88"/>
      <c r="AB579" s="88"/>
      <c r="AC579" s="88"/>
      <c r="AD579" s="88"/>
      <c r="AE579" s="88"/>
      <c r="AF579" s="88"/>
      <c r="AG579" s="88"/>
      <c r="AH579" s="88"/>
    </row>
    <row r="580" spans="1:34" ht="69.75" customHeight="1" x14ac:dyDescent="0.25">
      <c r="A580" s="953"/>
      <c r="B580" s="30" t="s">
        <v>975</v>
      </c>
      <c r="C580" s="30" t="s">
        <v>976</v>
      </c>
      <c r="D580" s="295" t="s">
        <v>381</v>
      </c>
      <c r="E580" s="291">
        <v>801561000</v>
      </c>
      <c r="F580" s="291">
        <v>5482052</v>
      </c>
      <c r="G580" s="292"/>
      <c r="H580" s="88"/>
      <c r="I580" s="88"/>
      <c r="J580" s="293"/>
      <c r="K580" s="88"/>
      <c r="L580" s="88"/>
      <c r="M580" s="88"/>
      <c r="N580" s="294"/>
      <c r="O580" s="88"/>
      <c r="P580" s="88"/>
      <c r="Q580" s="88"/>
      <c r="R580" s="88"/>
      <c r="S580" s="88"/>
      <c r="T580" s="88"/>
      <c r="U580" s="88"/>
      <c r="V580" s="88"/>
      <c r="W580" s="88"/>
      <c r="X580" s="88"/>
      <c r="Y580" s="88"/>
      <c r="Z580" s="88"/>
      <c r="AA580" s="88"/>
      <c r="AB580" s="88"/>
      <c r="AC580" s="88"/>
      <c r="AD580" s="88"/>
      <c r="AE580" s="88"/>
      <c r="AF580" s="88"/>
      <c r="AG580" s="88"/>
      <c r="AH580" s="88"/>
    </row>
    <row r="581" spans="1:34" ht="69.75" customHeight="1" x14ac:dyDescent="0.25">
      <c r="A581" s="952" t="s">
        <v>941</v>
      </c>
      <c r="B581" s="957" t="s">
        <v>963</v>
      </c>
      <c r="C581" s="957" t="s">
        <v>964</v>
      </c>
      <c r="D581" s="290" t="s">
        <v>344</v>
      </c>
      <c r="E581" s="291">
        <v>574654000</v>
      </c>
      <c r="F581" s="291">
        <v>12993393</v>
      </c>
      <c r="G581" s="292"/>
      <c r="H581" s="88"/>
      <c r="I581" s="88"/>
      <c r="J581" s="293"/>
      <c r="K581" s="88"/>
      <c r="L581" s="88"/>
      <c r="M581" s="88"/>
      <c r="N581" s="294"/>
      <c r="O581" s="88"/>
      <c r="P581" s="88"/>
      <c r="Q581" s="88"/>
      <c r="R581" s="88"/>
      <c r="S581" s="88"/>
      <c r="T581" s="88"/>
      <c r="U581" s="88"/>
      <c r="V581" s="88"/>
      <c r="W581" s="88"/>
      <c r="X581" s="88"/>
      <c r="Y581" s="88"/>
      <c r="Z581" s="88"/>
      <c r="AA581" s="88"/>
      <c r="AB581" s="88"/>
      <c r="AC581" s="88"/>
      <c r="AD581" s="88"/>
      <c r="AE581" s="88"/>
      <c r="AF581" s="88"/>
      <c r="AG581" s="88"/>
      <c r="AH581" s="88"/>
    </row>
    <row r="582" spans="1:34" ht="69.75" customHeight="1" x14ac:dyDescent="0.25">
      <c r="A582" s="948"/>
      <c r="B582" s="694"/>
      <c r="C582" s="694"/>
      <c r="D582" s="290" t="s">
        <v>355</v>
      </c>
      <c r="E582" s="291">
        <v>198130000</v>
      </c>
      <c r="F582" s="291">
        <v>7349100</v>
      </c>
      <c r="G582" s="292"/>
      <c r="H582" s="88"/>
      <c r="I582" s="88"/>
      <c r="J582" s="293"/>
      <c r="K582" s="88"/>
      <c r="L582" s="88"/>
      <c r="M582" s="88"/>
      <c r="N582" s="294"/>
      <c r="O582" s="88"/>
      <c r="P582" s="88"/>
      <c r="Q582" s="88"/>
      <c r="R582" s="88"/>
      <c r="S582" s="88"/>
      <c r="T582" s="88"/>
      <c r="U582" s="88"/>
      <c r="V582" s="88"/>
      <c r="W582" s="88"/>
      <c r="X582" s="88"/>
      <c r="Y582" s="88"/>
      <c r="Z582" s="88"/>
      <c r="AA582" s="88"/>
      <c r="AB582" s="88"/>
      <c r="AC582" s="88"/>
      <c r="AD582" s="88"/>
      <c r="AE582" s="88"/>
      <c r="AF582" s="88"/>
      <c r="AG582" s="88"/>
      <c r="AH582" s="88"/>
    </row>
    <row r="583" spans="1:34" ht="69.75" customHeight="1" x14ac:dyDescent="0.25">
      <c r="A583" s="948"/>
      <c r="B583" s="733"/>
      <c r="C583" s="733"/>
      <c r="D583" s="290" t="s">
        <v>358</v>
      </c>
      <c r="E583" s="291">
        <v>34285000</v>
      </c>
      <c r="F583" s="291">
        <v>2085333</v>
      </c>
      <c r="G583" s="292"/>
      <c r="H583" s="88"/>
      <c r="I583" s="88"/>
      <c r="J583" s="293"/>
      <c r="K583" s="88"/>
      <c r="L583" s="88"/>
      <c r="M583" s="88"/>
      <c r="N583" s="294"/>
      <c r="O583" s="88"/>
      <c r="P583" s="88"/>
      <c r="Q583" s="88"/>
      <c r="R583" s="88"/>
      <c r="S583" s="88"/>
      <c r="T583" s="88"/>
      <c r="U583" s="88"/>
      <c r="V583" s="88"/>
      <c r="W583" s="88"/>
      <c r="X583" s="88"/>
      <c r="Y583" s="88"/>
      <c r="Z583" s="88"/>
      <c r="AA583" s="88"/>
      <c r="AB583" s="88"/>
      <c r="AC583" s="88"/>
      <c r="AD583" s="88"/>
      <c r="AE583" s="88"/>
      <c r="AF583" s="88"/>
      <c r="AG583" s="88"/>
      <c r="AH583" s="88"/>
    </row>
    <row r="584" spans="1:34" ht="69.75" customHeight="1" x14ac:dyDescent="0.25">
      <c r="A584" s="948"/>
      <c r="B584" s="965" t="s">
        <v>967</v>
      </c>
      <c r="C584" s="965" t="s">
        <v>968</v>
      </c>
      <c r="D584" s="295" t="s">
        <v>362</v>
      </c>
      <c r="E584" s="291">
        <v>68299000</v>
      </c>
      <c r="F584" s="291">
        <v>0</v>
      </c>
      <c r="G584" s="292"/>
      <c r="H584" s="88"/>
      <c r="I584" s="88"/>
      <c r="J584" s="293"/>
      <c r="K584" s="88"/>
      <c r="L584" s="88"/>
      <c r="M584" s="88"/>
      <c r="N584" s="294"/>
      <c r="O584" s="88"/>
      <c r="P584" s="88"/>
      <c r="Q584" s="88"/>
      <c r="R584" s="88"/>
      <c r="S584" s="88"/>
      <c r="T584" s="88"/>
      <c r="U584" s="88"/>
      <c r="V584" s="88"/>
      <c r="W584" s="88"/>
      <c r="X584" s="88"/>
      <c r="Y584" s="88"/>
      <c r="Z584" s="88"/>
      <c r="AA584" s="88"/>
      <c r="AB584" s="88"/>
      <c r="AC584" s="88"/>
      <c r="AD584" s="88"/>
      <c r="AE584" s="88"/>
      <c r="AF584" s="88"/>
      <c r="AG584" s="88"/>
      <c r="AH584" s="88"/>
    </row>
    <row r="585" spans="1:34" ht="69.75" customHeight="1" x14ac:dyDescent="0.25">
      <c r="A585" s="948"/>
      <c r="B585" s="694"/>
      <c r="C585" s="694"/>
      <c r="D585" s="295" t="s">
        <v>1148</v>
      </c>
      <c r="E585" s="291">
        <v>699388000</v>
      </c>
      <c r="F585" s="291">
        <v>0</v>
      </c>
      <c r="G585" s="292"/>
      <c r="H585" s="88"/>
      <c r="I585" s="88"/>
      <c r="J585" s="293"/>
      <c r="K585" s="88"/>
      <c r="L585" s="88"/>
      <c r="M585" s="88"/>
      <c r="N585" s="294"/>
      <c r="O585" s="88"/>
      <c r="P585" s="88"/>
      <c r="Q585" s="88"/>
      <c r="R585" s="88"/>
      <c r="S585" s="88"/>
      <c r="T585" s="88"/>
      <c r="U585" s="88"/>
      <c r="V585" s="88"/>
      <c r="W585" s="88"/>
      <c r="X585" s="88"/>
      <c r="Y585" s="88"/>
      <c r="Z585" s="88"/>
      <c r="AA585" s="88"/>
      <c r="AB585" s="88"/>
      <c r="AC585" s="88"/>
      <c r="AD585" s="88"/>
      <c r="AE585" s="88"/>
      <c r="AF585" s="88"/>
      <c r="AG585" s="88"/>
      <c r="AH585" s="88"/>
    </row>
    <row r="586" spans="1:34" ht="69.75" customHeight="1" x14ac:dyDescent="0.25">
      <c r="A586" s="948"/>
      <c r="B586" s="694"/>
      <c r="C586" s="694"/>
      <c r="D586" s="295" t="s">
        <v>1149</v>
      </c>
      <c r="E586" s="291">
        <v>349839000</v>
      </c>
      <c r="F586" s="291">
        <v>14248600</v>
      </c>
      <c r="G586" s="292"/>
      <c r="H586" s="88"/>
      <c r="I586" s="88"/>
      <c r="J586" s="293"/>
      <c r="K586" s="88"/>
      <c r="L586" s="88"/>
      <c r="M586" s="88"/>
      <c r="N586" s="294"/>
      <c r="O586" s="88"/>
      <c r="P586" s="88"/>
      <c r="Q586" s="88"/>
      <c r="R586" s="88"/>
      <c r="S586" s="88"/>
      <c r="T586" s="88"/>
      <c r="U586" s="88"/>
      <c r="V586" s="88"/>
      <c r="W586" s="88"/>
      <c r="X586" s="88"/>
      <c r="Y586" s="88"/>
      <c r="Z586" s="88"/>
      <c r="AA586" s="88"/>
      <c r="AB586" s="88"/>
      <c r="AC586" s="88"/>
      <c r="AD586" s="88"/>
      <c r="AE586" s="88"/>
      <c r="AF586" s="88"/>
      <c r="AG586" s="88"/>
      <c r="AH586" s="88"/>
    </row>
    <row r="587" spans="1:34" ht="69.75" customHeight="1" x14ac:dyDescent="0.25">
      <c r="A587" s="948"/>
      <c r="B587" s="733"/>
      <c r="C587" s="733"/>
      <c r="D587" s="295" t="s">
        <v>891</v>
      </c>
      <c r="E587" s="296">
        <v>482999000</v>
      </c>
      <c r="F587" s="296">
        <v>13621034</v>
      </c>
      <c r="G587" s="292"/>
      <c r="H587" s="88"/>
      <c r="I587" s="88"/>
      <c r="J587" s="293"/>
      <c r="K587" s="88"/>
      <c r="L587" s="88"/>
      <c r="M587" s="88"/>
      <c r="N587" s="294"/>
      <c r="O587" s="88"/>
      <c r="P587" s="88"/>
      <c r="Q587" s="88"/>
      <c r="R587" s="88"/>
      <c r="S587" s="88"/>
      <c r="T587" s="88"/>
      <c r="U587" s="88"/>
      <c r="V587" s="88"/>
      <c r="W587" s="88"/>
      <c r="X587" s="88"/>
      <c r="Y587" s="88"/>
      <c r="Z587" s="88"/>
      <c r="AA587" s="88"/>
      <c r="AB587" s="88"/>
      <c r="AC587" s="88"/>
      <c r="AD587" s="88"/>
      <c r="AE587" s="88"/>
      <c r="AF587" s="88"/>
      <c r="AG587" s="88"/>
      <c r="AH587" s="88"/>
    </row>
    <row r="588" spans="1:34" ht="69.75" customHeight="1" x14ac:dyDescent="0.25">
      <c r="A588" s="948"/>
      <c r="B588" s="30" t="s">
        <v>971</v>
      </c>
      <c r="C588" s="30" t="s">
        <v>972</v>
      </c>
      <c r="D588" s="295" t="s">
        <v>1150</v>
      </c>
      <c r="E588" s="291">
        <v>250350000</v>
      </c>
      <c r="F588" s="291">
        <v>5581534</v>
      </c>
      <c r="G588" s="292"/>
      <c r="H588" s="88"/>
      <c r="I588" s="88"/>
      <c r="J588" s="293"/>
      <c r="K588" s="88"/>
      <c r="L588" s="88"/>
      <c r="M588" s="88"/>
      <c r="N588" s="294"/>
      <c r="O588" s="88"/>
      <c r="P588" s="88"/>
      <c r="Q588" s="88"/>
      <c r="R588" s="88"/>
      <c r="S588" s="88"/>
      <c r="T588" s="88"/>
      <c r="U588" s="88"/>
      <c r="V588" s="88"/>
      <c r="W588" s="88"/>
      <c r="X588" s="88"/>
      <c r="Y588" s="88"/>
      <c r="Z588" s="88"/>
      <c r="AA588" s="88"/>
      <c r="AB588" s="88"/>
      <c r="AC588" s="88"/>
      <c r="AD588" s="88"/>
      <c r="AE588" s="88"/>
      <c r="AF588" s="88"/>
      <c r="AG588" s="88"/>
      <c r="AH588" s="88"/>
    </row>
    <row r="589" spans="1:34" ht="69.75" customHeight="1" x14ac:dyDescent="0.25">
      <c r="A589" s="953"/>
      <c r="B589" s="30" t="s">
        <v>975</v>
      </c>
      <c r="C589" s="30" t="s">
        <v>976</v>
      </c>
      <c r="D589" s="295" t="s">
        <v>381</v>
      </c>
      <c r="E589" s="291">
        <v>801561000</v>
      </c>
      <c r="F589" s="291">
        <v>19474701</v>
      </c>
      <c r="G589" s="292"/>
      <c r="H589" s="88"/>
      <c r="I589" s="88"/>
      <c r="J589" s="293"/>
      <c r="K589" s="88"/>
      <c r="L589" s="88"/>
      <c r="M589" s="88"/>
      <c r="N589" s="294"/>
      <c r="O589" s="88"/>
      <c r="P589" s="88"/>
      <c r="Q589" s="88"/>
      <c r="R589" s="88"/>
      <c r="S589" s="88"/>
      <c r="T589" s="88"/>
      <c r="U589" s="88"/>
      <c r="V589" s="88"/>
      <c r="W589" s="88"/>
      <c r="X589" s="88"/>
      <c r="Y589" s="88"/>
      <c r="Z589" s="88"/>
      <c r="AA589" s="88"/>
      <c r="AB589" s="88"/>
      <c r="AC589" s="88"/>
      <c r="AD589" s="88"/>
      <c r="AE589" s="88"/>
      <c r="AF589" s="88"/>
      <c r="AG589" s="88"/>
      <c r="AH589" s="88"/>
    </row>
    <row r="590" spans="1:34" ht="69.75" customHeight="1" x14ac:dyDescent="0.25">
      <c r="A590" s="952" t="s">
        <v>942</v>
      </c>
      <c r="B590" s="957" t="s">
        <v>963</v>
      </c>
      <c r="C590" s="957" t="s">
        <v>964</v>
      </c>
      <c r="D590" s="290" t="s">
        <v>344</v>
      </c>
      <c r="E590" s="291">
        <v>556207000</v>
      </c>
      <c r="F590" s="291">
        <v>53643627</v>
      </c>
      <c r="G590" s="292"/>
      <c r="H590" s="88"/>
      <c r="I590" s="88"/>
      <c r="J590" s="293"/>
      <c r="K590" s="88"/>
      <c r="L590" s="88"/>
      <c r="M590" s="88"/>
      <c r="N590" s="294"/>
      <c r="O590" s="88"/>
      <c r="P590" s="88"/>
      <c r="Q590" s="88"/>
      <c r="R590" s="88"/>
      <c r="S590" s="88"/>
      <c r="T590" s="88"/>
      <c r="U590" s="88"/>
      <c r="V590" s="88"/>
      <c r="W590" s="88"/>
      <c r="X590" s="88"/>
      <c r="Y590" s="88"/>
      <c r="Z590" s="88"/>
      <c r="AA590" s="88"/>
      <c r="AB590" s="88"/>
      <c r="AC590" s="88"/>
      <c r="AD590" s="88"/>
      <c r="AE590" s="88"/>
      <c r="AF590" s="88"/>
      <c r="AG590" s="88"/>
      <c r="AH590" s="88"/>
    </row>
    <row r="591" spans="1:34" ht="69.75" customHeight="1" x14ac:dyDescent="0.25">
      <c r="A591" s="948"/>
      <c r="B591" s="694"/>
      <c r="C591" s="694"/>
      <c r="D591" s="290" t="s">
        <v>355</v>
      </c>
      <c r="E591" s="291">
        <v>172920000</v>
      </c>
      <c r="F591" s="291">
        <v>22047300</v>
      </c>
      <c r="G591" s="292"/>
      <c r="H591" s="88"/>
      <c r="I591" s="88"/>
      <c r="J591" s="293"/>
      <c r="K591" s="88"/>
      <c r="L591" s="88"/>
      <c r="M591" s="88"/>
      <c r="N591" s="294"/>
      <c r="O591" s="88"/>
      <c r="P591" s="88"/>
      <c r="Q591" s="88"/>
      <c r="R591" s="88"/>
      <c r="S591" s="88"/>
      <c r="T591" s="88"/>
      <c r="U591" s="88"/>
      <c r="V591" s="88"/>
      <c r="W591" s="88"/>
      <c r="X591" s="88"/>
      <c r="Y591" s="88"/>
      <c r="Z591" s="88"/>
      <c r="AA591" s="88"/>
      <c r="AB591" s="88"/>
      <c r="AC591" s="88"/>
      <c r="AD591" s="88"/>
      <c r="AE591" s="88"/>
      <c r="AF591" s="88"/>
      <c r="AG591" s="88"/>
      <c r="AH591" s="88"/>
    </row>
    <row r="592" spans="1:34" ht="69.75" customHeight="1" x14ac:dyDescent="0.25">
      <c r="A592" s="948"/>
      <c r="B592" s="733"/>
      <c r="C592" s="733"/>
      <c r="D592" s="290" t="s">
        <v>358</v>
      </c>
      <c r="E592" s="291">
        <v>27200000</v>
      </c>
      <c r="F592" s="291">
        <v>4805333</v>
      </c>
      <c r="G592" s="292"/>
      <c r="H592" s="88"/>
      <c r="I592" s="88"/>
      <c r="J592" s="293"/>
      <c r="K592" s="88"/>
      <c r="L592" s="88"/>
      <c r="M592" s="88"/>
      <c r="N592" s="294"/>
      <c r="O592" s="88"/>
      <c r="P592" s="88"/>
      <c r="Q592" s="88"/>
      <c r="R592" s="88"/>
      <c r="S592" s="88"/>
      <c r="T592" s="88"/>
      <c r="U592" s="88"/>
      <c r="V592" s="88"/>
      <c r="W592" s="88"/>
      <c r="X592" s="88"/>
      <c r="Y592" s="88"/>
      <c r="Z592" s="88"/>
      <c r="AA592" s="88"/>
      <c r="AB592" s="88"/>
      <c r="AC592" s="88"/>
      <c r="AD592" s="88"/>
      <c r="AE592" s="88"/>
      <c r="AF592" s="88"/>
      <c r="AG592" s="88"/>
      <c r="AH592" s="88"/>
    </row>
    <row r="593" spans="1:34" ht="69.75" customHeight="1" x14ac:dyDescent="0.25">
      <c r="A593" s="948"/>
      <c r="B593" s="965" t="s">
        <v>967</v>
      </c>
      <c r="C593" s="965" t="s">
        <v>968</v>
      </c>
      <c r="D593" s="295" t="s">
        <v>362</v>
      </c>
      <c r="E593" s="291">
        <v>67897116</v>
      </c>
      <c r="F593" s="291">
        <v>4041500</v>
      </c>
      <c r="G593" s="292"/>
      <c r="H593" s="88"/>
      <c r="I593" s="88"/>
      <c r="J593" s="293"/>
      <c r="K593" s="88"/>
      <c r="L593" s="88"/>
      <c r="M593" s="88"/>
      <c r="N593" s="294"/>
      <c r="O593" s="88"/>
      <c r="P593" s="88"/>
      <c r="Q593" s="88"/>
      <c r="R593" s="88"/>
      <c r="S593" s="88"/>
      <c r="T593" s="88"/>
      <c r="U593" s="88"/>
      <c r="V593" s="88"/>
      <c r="W593" s="88"/>
      <c r="X593" s="88"/>
      <c r="Y593" s="88"/>
      <c r="Z593" s="88"/>
      <c r="AA593" s="88"/>
      <c r="AB593" s="88"/>
      <c r="AC593" s="88"/>
      <c r="AD593" s="88"/>
      <c r="AE593" s="88"/>
      <c r="AF593" s="88"/>
      <c r="AG593" s="88"/>
      <c r="AH593" s="88"/>
    </row>
    <row r="594" spans="1:34" ht="69.75" customHeight="1" x14ac:dyDescent="0.25">
      <c r="A594" s="948"/>
      <c r="B594" s="694"/>
      <c r="C594" s="694"/>
      <c r="D594" s="295" t="s">
        <v>1148</v>
      </c>
      <c r="E594" s="291">
        <v>375068706</v>
      </c>
      <c r="F594" s="291">
        <v>25354666</v>
      </c>
      <c r="G594" s="292"/>
      <c r="H594" s="88"/>
      <c r="I594" s="88"/>
      <c r="J594" s="293"/>
      <c r="K594" s="88"/>
      <c r="L594" s="88"/>
      <c r="M594" s="88"/>
      <c r="N594" s="294"/>
      <c r="O594" s="88"/>
      <c r="P594" s="88"/>
      <c r="Q594" s="88"/>
      <c r="R594" s="88"/>
      <c r="S594" s="88"/>
      <c r="T594" s="88"/>
      <c r="U594" s="88"/>
      <c r="V594" s="88"/>
      <c r="W594" s="88"/>
      <c r="X594" s="88"/>
      <c r="Y594" s="88"/>
      <c r="Z594" s="88"/>
      <c r="AA594" s="88"/>
      <c r="AB594" s="88"/>
      <c r="AC594" s="88"/>
      <c r="AD594" s="88"/>
      <c r="AE594" s="88"/>
      <c r="AF594" s="88"/>
      <c r="AG594" s="88"/>
      <c r="AH594" s="88"/>
    </row>
    <row r="595" spans="1:34" ht="69.75" customHeight="1" x14ac:dyDescent="0.25">
      <c r="A595" s="948"/>
      <c r="B595" s="694"/>
      <c r="C595" s="694"/>
      <c r="D595" s="295" t="s">
        <v>1149</v>
      </c>
      <c r="E595" s="291">
        <v>313790000</v>
      </c>
      <c r="F595" s="291">
        <v>45283800</v>
      </c>
      <c r="G595" s="292"/>
      <c r="H595" s="88"/>
      <c r="I595" s="88"/>
      <c r="J595" s="293"/>
      <c r="K595" s="88"/>
      <c r="L595" s="88"/>
      <c r="M595" s="88"/>
      <c r="N595" s="294"/>
      <c r="O595" s="88"/>
      <c r="P595" s="88"/>
      <c r="Q595" s="88"/>
      <c r="R595" s="88"/>
      <c r="S595" s="88"/>
      <c r="T595" s="88"/>
      <c r="U595" s="88"/>
      <c r="V595" s="88"/>
      <c r="W595" s="88"/>
      <c r="X595" s="88"/>
      <c r="Y595" s="88"/>
      <c r="Z595" s="88"/>
      <c r="AA595" s="88"/>
      <c r="AB595" s="88"/>
      <c r="AC595" s="88"/>
      <c r="AD595" s="88"/>
      <c r="AE595" s="88"/>
      <c r="AF595" s="88"/>
      <c r="AG595" s="88"/>
      <c r="AH595" s="88"/>
    </row>
    <row r="596" spans="1:34" ht="69.75" customHeight="1" x14ac:dyDescent="0.25">
      <c r="A596" s="948"/>
      <c r="B596" s="733"/>
      <c r="C596" s="733"/>
      <c r="D596" s="295" t="s">
        <v>891</v>
      </c>
      <c r="E596" s="296">
        <v>443325000</v>
      </c>
      <c r="F596" s="296">
        <v>50942234</v>
      </c>
      <c r="G596" s="292"/>
      <c r="H596" s="88"/>
      <c r="I596" s="88"/>
      <c r="J596" s="293"/>
      <c r="K596" s="88"/>
      <c r="L596" s="88"/>
      <c r="M596" s="88"/>
      <c r="N596" s="294"/>
      <c r="O596" s="88"/>
      <c r="P596" s="88"/>
      <c r="Q596" s="88"/>
      <c r="R596" s="88"/>
      <c r="S596" s="88"/>
      <c r="T596" s="88"/>
      <c r="U596" s="88"/>
      <c r="V596" s="88"/>
      <c r="W596" s="88"/>
      <c r="X596" s="88"/>
      <c r="Y596" s="88"/>
      <c r="Z596" s="88"/>
      <c r="AA596" s="88"/>
      <c r="AB596" s="88"/>
      <c r="AC596" s="88"/>
      <c r="AD596" s="88"/>
      <c r="AE596" s="88"/>
      <c r="AF596" s="88"/>
      <c r="AG596" s="88"/>
      <c r="AH596" s="88"/>
    </row>
    <row r="597" spans="1:34" ht="69.75" customHeight="1" x14ac:dyDescent="0.25">
      <c r="A597" s="948"/>
      <c r="B597" s="30" t="s">
        <v>971</v>
      </c>
      <c r="C597" s="30" t="s">
        <v>972</v>
      </c>
      <c r="D597" s="295" t="s">
        <v>1150</v>
      </c>
      <c r="E597" s="291">
        <v>222016000</v>
      </c>
      <c r="F597" s="291">
        <v>22792600</v>
      </c>
      <c r="G597" s="292"/>
      <c r="H597" s="88"/>
      <c r="I597" s="88"/>
      <c r="J597" s="293"/>
      <c r="K597" s="88"/>
      <c r="L597" s="88"/>
      <c r="M597" s="88"/>
      <c r="N597" s="294"/>
      <c r="O597" s="88"/>
      <c r="P597" s="88"/>
      <c r="Q597" s="88"/>
      <c r="R597" s="88"/>
      <c r="S597" s="88"/>
      <c r="T597" s="88"/>
      <c r="U597" s="88"/>
      <c r="V597" s="88"/>
      <c r="W597" s="88"/>
      <c r="X597" s="88"/>
      <c r="Y597" s="88"/>
      <c r="Z597" s="88"/>
      <c r="AA597" s="88"/>
      <c r="AB597" s="88"/>
      <c r="AC597" s="88"/>
      <c r="AD597" s="88"/>
      <c r="AE597" s="88"/>
      <c r="AF597" s="88"/>
      <c r="AG597" s="88"/>
      <c r="AH597" s="88"/>
    </row>
    <row r="598" spans="1:34" ht="69.75" customHeight="1" x14ac:dyDescent="0.25">
      <c r="A598" s="953"/>
      <c r="B598" s="30" t="s">
        <v>975</v>
      </c>
      <c r="C598" s="30" t="s">
        <v>976</v>
      </c>
      <c r="D598" s="295" t="s">
        <v>381</v>
      </c>
      <c r="E598" s="291">
        <v>754641627</v>
      </c>
      <c r="F598" s="291">
        <v>37130834</v>
      </c>
      <c r="G598" s="292"/>
      <c r="H598" s="88"/>
      <c r="I598" s="88"/>
      <c r="J598" s="293"/>
      <c r="K598" s="88"/>
      <c r="L598" s="88"/>
      <c r="M598" s="88"/>
      <c r="N598" s="294"/>
      <c r="O598" s="88"/>
      <c r="P598" s="88"/>
      <c r="Q598" s="88"/>
      <c r="R598" s="88"/>
      <c r="S598" s="88"/>
      <c r="T598" s="88"/>
      <c r="U598" s="88"/>
      <c r="V598" s="88"/>
      <c r="W598" s="88"/>
      <c r="X598" s="88"/>
      <c r="Y598" s="88"/>
      <c r="Z598" s="88"/>
      <c r="AA598" s="88"/>
      <c r="AB598" s="88"/>
      <c r="AC598" s="88"/>
      <c r="AD598" s="88"/>
      <c r="AE598" s="88"/>
      <c r="AF598" s="88"/>
      <c r="AG598" s="88"/>
      <c r="AH598" s="88"/>
    </row>
    <row r="599" spans="1:34" ht="69.75" customHeight="1" x14ac:dyDescent="0.25">
      <c r="A599" s="952" t="s">
        <v>942</v>
      </c>
      <c r="B599" s="957" t="s">
        <v>963</v>
      </c>
      <c r="C599" s="957" t="s">
        <v>964</v>
      </c>
      <c r="D599" s="290" t="s">
        <v>344</v>
      </c>
      <c r="E599" s="291">
        <v>556207000</v>
      </c>
      <c r="F599" s="291">
        <v>53643627</v>
      </c>
      <c r="G599" s="292"/>
      <c r="H599" s="88"/>
      <c r="I599" s="88"/>
      <c r="J599" s="293"/>
      <c r="K599" s="88"/>
      <c r="L599" s="88"/>
      <c r="M599" s="88"/>
      <c r="N599" s="294"/>
      <c r="O599" s="88"/>
      <c r="P599" s="88"/>
      <c r="Q599" s="88"/>
      <c r="R599" s="88"/>
      <c r="S599" s="88"/>
      <c r="T599" s="88"/>
      <c r="U599" s="88"/>
      <c r="V599" s="88"/>
      <c r="W599" s="88"/>
      <c r="X599" s="88"/>
      <c r="Y599" s="88"/>
      <c r="Z599" s="88"/>
      <c r="AA599" s="88"/>
      <c r="AB599" s="88"/>
      <c r="AC599" s="88"/>
      <c r="AD599" s="88"/>
      <c r="AE599" s="88"/>
      <c r="AF599" s="88"/>
      <c r="AG599" s="88"/>
      <c r="AH599" s="88"/>
    </row>
    <row r="600" spans="1:34" ht="69.75" customHeight="1" x14ac:dyDescent="0.25">
      <c r="A600" s="948"/>
      <c r="B600" s="694"/>
      <c r="C600" s="694"/>
      <c r="D600" s="290" t="s">
        <v>355</v>
      </c>
      <c r="E600" s="291">
        <v>172920000</v>
      </c>
      <c r="F600" s="291">
        <v>22047300</v>
      </c>
      <c r="G600" s="292"/>
      <c r="H600" s="88"/>
      <c r="I600" s="88"/>
      <c r="J600" s="293"/>
      <c r="K600" s="88"/>
      <c r="L600" s="88"/>
      <c r="M600" s="88"/>
      <c r="N600" s="294"/>
      <c r="O600" s="88"/>
      <c r="P600" s="88"/>
      <c r="Q600" s="88"/>
      <c r="R600" s="88"/>
      <c r="S600" s="88"/>
      <c r="T600" s="88"/>
      <c r="U600" s="88"/>
      <c r="V600" s="88"/>
      <c r="W600" s="88"/>
      <c r="X600" s="88"/>
      <c r="Y600" s="88"/>
      <c r="Z600" s="88"/>
      <c r="AA600" s="88"/>
      <c r="AB600" s="88"/>
      <c r="AC600" s="88"/>
      <c r="AD600" s="88"/>
      <c r="AE600" s="88"/>
      <c r="AF600" s="88"/>
      <c r="AG600" s="88"/>
      <c r="AH600" s="88"/>
    </row>
    <row r="601" spans="1:34" ht="69.75" customHeight="1" x14ac:dyDescent="0.25">
      <c r="A601" s="948"/>
      <c r="B601" s="733"/>
      <c r="C601" s="733"/>
      <c r="D601" s="290" t="s">
        <v>358</v>
      </c>
      <c r="E601" s="291">
        <v>27200000</v>
      </c>
      <c r="F601" s="291">
        <v>4805333</v>
      </c>
      <c r="G601" s="292"/>
      <c r="H601" s="88"/>
      <c r="I601" s="88"/>
      <c r="J601" s="293"/>
      <c r="K601" s="88"/>
      <c r="L601" s="88"/>
      <c r="M601" s="88"/>
      <c r="N601" s="294"/>
      <c r="O601" s="88"/>
      <c r="P601" s="88"/>
      <c r="Q601" s="88"/>
      <c r="R601" s="88"/>
      <c r="S601" s="88"/>
      <c r="T601" s="88"/>
      <c r="U601" s="88"/>
      <c r="V601" s="88"/>
      <c r="W601" s="88"/>
      <c r="X601" s="88"/>
      <c r="Y601" s="88"/>
      <c r="Z601" s="88"/>
      <c r="AA601" s="88"/>
      <c r="AB601" s="88"/>
      <c r="AC601" s="88"/>
      <c r="AD601" s="88"/>
      <c r="AE601" s="88"/>
      <c r="AF601" s="88"/>
      <c r="AG601" s="88"/>
      <c r="AH601" s="88"/>
    </row>
    <row r="602" spans="1:34" ht="69.75" customHeight="1" x14ac:dyDescent="0.25">
      <c r="A602" s="948"/>
      <c r="B602" s="965" t="s">
        <v>967</v>
      </c>
      <c r="C602" s="965" t="s">
        <v>968</v>
      </c>
      <c r="D602" s="295" t="s">
        <v>362</v>
      </c>
      <c r="E602" s="291">
        <v>67897116</v>
      </c>
      <c r="F602" s="291">
        <v>4041500</v>
      </c>
      <c r="G602" s="292"/>
      <c r="H602" s="88"/>
      <c r="I602" s="88"/>
      <c r="J602" s="293"/>
      <c r="K602" s="88"/>
      <c r="L602" s="88"/>
      <c r="M602" s="88"/>
      <c r="N602" s="294"/>
      <c r="O602" s="88"/>
      <c r="P602" s="88"/>
      <c r="Q602" s="88"/>
      <c r="R602" s="88"/>
      <c r="S602" s="88"/>
      <c r="T602" s="88"/>
      <c r="U602" s="88"/>
      <c r="V602" s="88"/>
      <c r="W602" s="88"/>
      <c r="X602" s="88"/>
      <c r="Y602" s="88"/>
      <c r="Z602" s="88"/>
      <c r="AA602" s="88"/>
      <c r="AB602" s="88"/>
      <c r="AC602" s="88"/>
      <c r="AD602" s="88"/>
      <c r="AE602" s="88"/>
      <c r="AF602" s="88"/>
      <c r="AG602" s="88"/>
      <c r="AH602" s="88"/>
    </row>
    <row r="603" spans="1:34" ht="69.75" customHeight="1" x14ac:dyDescent="0.25">
      <c r="A603" s="948"/>
      <c r="B603" s="694"/>
      <c r="C603" s="694"/>
      <c r="D603" s="295" t="s">
        <v>1148</v>
      </c>
      <c r="E603" s="291">
        <v>375068706</v>
      </c>
      <c r="F603" s="291">
        <v>25354666</v>
      </c>
      <c r="G603" s="292"/>
      <c r="H603" s="88"/>
      <c r="I603" s="88"/>
      <c r="J603" s="293"/>
      <c r="K603" s="88"/>
      <c r="L603" s="88"/>
      <c r="M603" s="88"/>
      <c r="N603" s="294"/>
      <c r="O603" s="88"/>
      <c r="P603" s="88"/>
      <c r="Q603" s="88"/>
      <c r="R603" s="88"/>
      <c r="S603" s="88"/>
      <c r="T603" s="88"/>
      <c r="U603" s="88"/>
      <c r="V603" s="88"/>
      <c r="W603" s="88"/>
      <c r="X603" s="88"/>
      <c r="Y603" s="88"/>
      <c r="Z603" s="88"/>
      <c r="AA603" s="88"/>
      <c r="AB603" s="88"/>
      <c r="AC603" s="88"/>
      <c r="AD603" s="88"/>
      <c r="AE603" s="88"/>
      <c r="AF603" s="88"/>
      <c r="AG603" s="88"/>
      <c r="AH603" s="88"/>
    </row>
    <row r="604" spans="1:34" ht="69.75" customHeight="1" x14ac:dyDescent="0.25">
      <c r="A604" s="948"/>
      <c r="B604" s="694"/>
      <c r="C604" s="694"/>
      <c r="D604" s="295" t="s">
        <v>1149</v>
      </c>
      <c r="E604" s="291">
        <v>313790000</v>
      </c>
      <c r="F604" s="291">
        <v>45283800</v>
      </c>
      <c r="G604" s="292"/>
      <c r="H604" s="88"/>
      <c r="I604" s="88"/>
      <c r="J604" s="293"/>
      <c r="K604" s="88"/>
      <c r="L604" s="88"/>
      <c r="M604" s="88"/>
      <c r="N604" s="294"/>
      <c r="O604" s="88"/>
      <c r="P604" s="88"/>
      <c r="Q604" s="88"/>
      <c r="R604" s="88"/>
      <c r="S604" s="88"/>
      <c r="T604" s="88"/>
      <c r="U604" s="88"/>
      <c r="V604" s="88"/>
      <c r="W604" s="88"/>
      <c r="X604" s="88"/>
      <c r="Y604" s="88"/>
      <c r="Z604" s="88"/>
      <c r="AA604" s="88"/>
      <c r="AB604" s="88"/>
      <c r="AC604" s="88"/>
      <c r="AD604" s="88"/>
      <c r="AE604" s="88"/>
      <c r="AF604" s="88"/>
      <c r="AG604" s="88"/>
      <c r="AH604" s="88"/>
    </row>
    <row r="605" spans="1:34" ht="69.75" customHeight="1" x14ac:dyDescent="0.25">
      <c r="A605" s="948"/>
      <c r="B605" s="733"/>
      <c r="C605" s="733"/>
      <c r="D605" s="295" t="s">
        <v>891</v>
      </c>
      <c r="E605" s="296">
        <v>443325000</v>
      </c>
      <c r="F605" s="296">
        <v>50942234</v>
      </c>
      <c r="G605" s="292"/>
      <c r="H605" s="88"/>
      <c r="I605" s="88"/>
      <c r="J605" s="293"/>
      <c r="K605" s="88"/>
      <c r="L605" s="88"/>
      <c r="M605" s="88"/>
      <c r="N605" s="294"/>
      <c r="O605" s="88"/>
      <c r="P605" s="88"/>
      <c r="Q605" s="88"/>
      <c r="R605" s="88"/>
      <c r="S605" s="88"/>
      <c r="T605" s="88"/>
      <c r="U605" s="88"/>
      <c r="V605" s="88"/>
      <c r="W605" s="88"/>
      <c r="X605" s="88"/>
      <c r="Y605" s="88"/>
      <c r="Z605" s="88"/>
      <c r="AA605" s="88"/>
      <c r="AB605" s="88"/>
      <c r="AC605" s="88"/>
      <c r="AD605" s="88"/>
      <c r="AE605" s="88"/>
      <c r="AF605" s="88"/>
      <c r="AG605" s="88"/>
      <c r="AH605" s="88"/>
    </row>
    <row r="606" spans="1:34" ht="69.75" customHeight="1" x14ac:dyDescent="0.25">
      <c r="A606" s="948"/>
      <c r="B606" s="30" t="s">
        <v>971</v>
      </c>
      <c r="C606" s="30" t="s">
        <v>972</v>
      </c>
      <c r="D606" s="295" t="s">
        <v>1150</v>
      </c>
      <c r="E606" s="291">
        <v>222016000</v>
      </c>
      <c r="F606" s="291">
        <v>22792600</v>
      </c>
      <c r="G606" s="292"/>
      <c r="H606" s="88"/>
      <c r="I606" s="88"/>
      <c r="J606" s="293"/>
      <c r="K606" s="88"/>
      <c r="L606" s="88"/>
      <c r="M606" s="88"/>
      <c r="N606" s="294"/>
      <c r="O606" s="88"/>
      <c r="P606" s="88"/>
      <c r="Q606" s="88"/>
      <c r="R606" s="88"/>
      <c r="S606" s="88"/>
      <c r="T606" s="88"/>
      <c r="U606" s="88"/>
      <c r="V606" s="88"/>
      <c r="W606" s="88"/>
      <c r="X606" s="88"/>
      <c r="Y606" s="88"/>
      <c r="Z606" s="88"/>
      <c r="AA606" s="88"/>
      <c r="AB606" s="88"/>
      <c r="AC606" s="88"/>
      <c r="AD606" s="88"/>
      <c r="AE606" s="88"/>
      <c r="AF606" s="88"/>
      <c r="AG606" s="88"/>
      <c r="AH606" s="88"/>
    </row>
    <row r="607" spans="1:34" ht="69.75" customHeight="1" x14ac:dyDescent="0.25">
      <c r="A607" s="953"/>
      <c r="B607" s="30" t="s">
        <v>975</v>
      </c>
      <c r="C607" s="30" t="s">
        <v>976</v>
      </c>
      <c r="D607" s="295" t="s">
        <v>381</v>
      </c>
      <c r="E607" s="291">
        <v>754641627</v>
      </c>
      <c r="F607" s="291">
        <v>37130834</v>
      </c>
      <c r="G607" s="292"/>
      <c r="H607" s="88"/>
      <c r="I607" s="88"/>
      <c r="J607" s="293"/>
      <c r="K607" s="88"/>
      <c r="L607" s="88"/>
      <c r="M607" s="88"/>
      <c r="N607" s="294"/>
      <c r="O607" s="88"/>
      <c r="P607" s="88"/>
      <c r="Q607" s="88"/>
      <c r="R607" s="88"/>
      <c r="S607" s="88"/>
      <c r="T607" s="88"/>
      <c r="U607" s="88"/>
      <c r="V607" s="88"/>
      <c r="W607" s="88"/>
      <c r="X607" s="88"/>
      <c r="Y607" s="88"/>
      <c r="Z607" s="88"/>
      <c r="AA607" s="88"/>
      <c r="AB607" s="88"/>
      <c r="AC607" s="88"/>
      <c r="AD607" s="88"/>
      <c r="AE607" s="88"/>
      <c r="AF607" s="88"/>
      <c r="AG607" s="88"/>
      <c r="AH607" s="88"/>
    </row>
    <row r="608" spans="1:34" ht="69.75" customHeight="1" x14ac:dyDescent="0.25">
      <c r="A608" s="952" t="s">
        <v>944</v>
      </c>
      <c r="B608" s="957" t="s">
        <v>963</v>
      </c>
      <c r="C608" s="957" t="s">
        <v>964</v>
      </c>
      <c r="D608" s="290" t="s">
        <v>344</v>
      </c>
      <c r="E608" s="291">
        <v>556207000</v>
      </c>
      <c r="F608" s="291">
        <v>173791767</v>
      </c>
      <c r="G608" s="292"/>
      <c r="H608" s="88"/>
      <c r="I608" s="88"/>
      <c r="J608" s="293"/>
      <c r="K608" s="88"/>
      <c r="L608" s="88"/>
      <c r="M608" s="88"/>
      <c r="N608" s="294"/>
      <c r="O608" s="88"/>
      <c r="P608" s="88"/>
      <c r="Q608" s="88"/>
      <c r="R608" s="88"/>
      <c r="S608" s="88"/>
      <c r="T608" s="88"/>
      <c r="U608" s="88"/>
      <c r="V608" s="88"/>
      <c r="W608" s="88"/>
      <c r="X608" s="88"/>
      <c r="Y608" s="88"/>
      <c r="Z608" s="88"/>
      <c r="AA608" s="88"/>
      <c r="AB608" s="88"/>
      <c r="AC608" s="88"/>
      <c r="AD608" s="88"/>
      <c r="AE608" s="88"/>
      <c r="AF608" s="88"/>
      <c r="AG608" s="88"/>
      <c r="AH608" s="88"/>
    </row>
    <row r="609" spans="1:34" ht="69.75" customHeight="1" x14ac:dyDescent="0.25">
      <c r="A609" s="948"/>
      <c r="B609" s="694"/>
      <c r="C609" s="694"/>
      <c r="D609" s="290" t="s">
        <v>355</v>
      </c>
      <c r="E609" s="291">
        <v>172920000</v>
      </c>
      <c r="F609" s="291">
        <v>56631300</v>
      </c>
      <c r="G609" s="292"/>
      <c r="H609" s="88"/>
      <c r="I609" s="88"/>
      <c r="J609" s="293"/>
      <c r="K609" s="88"/>
      <c r="L609" s="88"/>
      <c r="M609" s="88"/>
      <c r="N609" s="294"/>
      <c r="O609" s="88"/>
      <c r="P609" s="88"/>
      <c r="Q609" s="88"/>
      <c r="R609" s="88"/>
      <c r="S609" s="88"/>
      <c r="T609" s="88"/>
      <c r="U609" s="88"/>
      <c r="V609" s="88"/>
      <c r="W609" s="88"/>
      <c r="X609" s="88"/>
      <c r="Y609" s="88"/>
      <c r="Z609" s="88"/>
      <c r="AA609" s="88"/>
      <c r="AB609" s="88"/>
      <c r="AC609" s="88"/>
      <c r="AD609" s="88"/>
      <c r="AE609" s="88"/>
      <c r="AF609" s="88"/>
      <c r="AG609" s="88"/>
      <c r="AH609" s="88"/>
    </row>
    <row r="610" spans="1:34" ht="69.75" customHeight="1" x14ac:dyDescent="0.25">
      <c r="A610" s="948"/>
      <c r="B610" s="733"/>
      <c r="C610" s="733"/>
      <c r="D610" s="290" t="s">
        <v>358</v>
      </c>
      <c r="E610" s="291">
        <v>27200000</v>
      </c>
      <c r="F610" s="291">
        <v>10245333</v>
      </c>
      <c r="G610" s="292"/>
      <c r="H610" s="88"/>
      <c r="I610" s="88"/>
      <c r="J610" s="293"/>
      <c r="K610" s="88"/>
      <c r="L610" s="88"/>
      <c r="M610" s="88"/>
      <c r="N610" s="294"/>
      <c r="O610" s="88"/>
      <c r="P610" s="88"/>
      <c r="Q610" s="88"/>
      <c r="R610" s="88"/>
      <c r="S610" s="88"/>
      <c r="T610" s="88"/>
      <c r="U610" s="88"/>
      <c r="V610" s="88"/>
      <c r="W610" s="88"/>
      <c r="X610" s="88"/>
      <c r="Y610" s="88"/>
      <c r="Z610" s="88"/>
      <c r="AA610" s="88"/>
      <c r="AB610" s="88"/>
      <c r="AC610" s="88"/>
      <c r="AD610" s="88"/>
      <c r="AE610" s="88"/>
      <c r="AF610" s="88"/>
      <c r="AG610" s="88"/>
      <c r="AH610" s="88"/>
    </row>
    <row r="611" spans="1:34" ht="69.75" customHeight="1" x14ac:dyDescent="0.25">
      <c r="A611" s="948"/>
      <c r="B611" s="965" t="s">
        <v>967</v>
      </c>
      <c r="C611" s="965" t="s">
        <v>968</v>
      </c>
      <c r="D611" s="295" t="s">
        <v>362</v>
      </c>
      <c r="E611" s="291">
        <v>67897116</v>
      </c>
      <c r="F611" s="291">
        <v>20207500</v>
      </c>
      <c r="G611" s="292"/>
      <c r="H611" s="88"/>
      <c r="I611" s="88"/>
      <c r="J611" s="293"/>
      <c r="K611" s="88"/>
      <c r="L611" s="88"/>
      <c r="M611" s="88"/>
      <c r="N611" s="294"/>
      <c r="O611" s="88"/>
      <c r="P611" s="88"/>
      <c r="Q611" s="88"/>
      <c r="R611" s="88"/>
      <c r="S611" s="88"/>
      <c r="T611" s="88"/>
      <c r="U611" s="88"/>
      <c r="V611" s="88"/>
      <c r="W611" s="88"/>
      <c r="X611" s="88"/>
      <c r="Y611" s="88"/>
      <c r="Z611" s="88"/>
      <c r="AA611" s="88"/>
      <c r="AB611" s="88"/>
      <c r="AC611" s="88"/>
      <c r="AD611" s="88"/>
      <c r="AE611" s="88"/>
      <c r="AF611" s="88"/>
      <c r="AG611" s="88"/>
      <c r="AH611" s="88"/>
    </row>
    <row r="612" spans="1:34" ht="69.75" customHeight="1" x14ac:dyDescent="0.25">
      <c r="A612" s="948"/>
      <c r="B612" s="694"/>
      <c r="C612" s="694"/>
      <c r="D612" s="295" t="s">
        <v>1148</v>
      </c>
      <c r="E612" s="291">
        <v>375068706</v>
      </c>
      <c r="F612" s="291">
        <v>112050666</v>
      </c>
      <c r="G612" s="292"/>
      <c r="H612" s="88"/>
      <c r="I612" s="88"/>
      <c r="J612" s="293"/>
      <c r="K612" s="88"/>
      <c r="L612" s="88"/>
      <c r="M612" s="88"/>
      <c r="N612" s="294"/>
      <c r="O612" s="88"/>
      <c r="P612" s="88"/>
      <c r="Q612" s="88"/>
      <c r="R612" s="88"/>
      <c r="S612" s="88"/>
      <c r="T612" s="88"/>
      <c r="U612" s="88"/>
      <c r="V612" s="88"/>
      <c r="W612" s="88"/>
      <c r="X612" s="88"/>
      <c r="Y612" s="88"/>
      <c r="Z612" s="88"/>
      <c r="AA612" s="88"/>
      <c r="AB612" s="88"/>
      <c r="AC612" s="88"/>
      <c r="AD612" s="88"/>
      <c r="AE612" s="88"/>
      <c r="AF612" s="88"/>
      <c r="AG612" s="88"/>
      <c r="AH612" s="88"/>
    </row>
    <row r="613" spans="1:34" ht="69.75" customHeight="1" x14ac:dyDescent="0.25">
      <c r="A613" s="948"/>
      <c r="B613" s="694"/>
      <c r="C613" s="694"/>
      <c r="D613" s="295" t="s">
        <v>1149</v>
      </c>
      <c r="E613" s="291">
        <v>313790000</v>
      </c>
      <c r="F613" s="291">
        <v>108041800</v>
      </c>
      <c r="G613" s="292"/>
      <c r="H613" s="88"/>
      <c r="I613" s="88"/>
      <c r="J613" s="293"/>
      <c r="K613" s="88"/>
      <c r="L613" s="88"/>
      <c r="M613" s="88"/>
      <c r="N613" s="294"/>
      <c r="O613" s="88"/>
      <c r="P613" s="88"/>
      <c r="Q613" s="88"/>
      <c r="R613" s="88"/>
      <c r="S613" s="88"/>
      <c r="T613" s="88"/>
      <c r="U613" s="88"/>
      <c r="V613" s="88"/>
      <c r="W613" s="88"/>
      <c r="X613" s="88"/>
      <c r="Y613" s="88"/>
      <c r="Z613" s="88"/>
      <c r="AA613" s="88"/>
      <c r="AB613" s="88"/>
      <c r="AC613" s="88"/>
      <c r="AD613" s="88"/>
      <c r="AE613" s="88"/>
      <c r="AF613" s="88"/>
      <c r="AG613" s="88"/>
      <c r="AH613" s="88"/>
    </row>
    <row r="614" spans="1:34" ht="69.75" customHeight="1" x14ac:dyDescent="0.25">
      <c r="A614" s="948"/>
      <c r="B614" s="733"/>
      <c r="C614" s="733"/>
      <c r="D614" s="295" t="s">
        <v>891</v>
      </c>
      <c r="E614" s="296">
        <v>443325000</v>
      </c>
      <c r="F614" s="296">
        <v>146091734</v>
      </c>
      <c r="G614" s="292"/>
      <c r="H614" s="88"/>
      <c r="I614" s="88"/>
      <c r="J614" s="293"/>
      <c r="K614" s="88"/>
      <c r="L614" s="88"/>
      <c r="M614" s="88"/>
      <c r="N614" s="294"/>
      <c r="O614" s="88"/>
      <c r="P614" s="88"/>
      <c r="Q614" s="88"/>
      <c r="R614" s="88"/>
      <c r="S614" s="88"/>
      <c r="T614" s="88"/>
      <c r="U614" s="88"/>
      <c r="V614" s="88"/>
      <c r="W614" s="88"/>
      <c r="X614" s="88"/>
      <c r="Y614" s="88"/>
      <c r="Z614" s="88"/>
      <c r="AA614" s="88"/>
      <c r="AB614" s="88"/>
      <c r="AC614" s="88"/>
      <c r="AD614" s="88"/>
      <c r="AE614" s="88"/>
      <c r="AF614" s="88"/>
      <c r="AG614" s="88"/>
      <c r="AH614" s="88"/>
    </row>
    <row r="615" spans="1:34" ht="69.75" customHeight="1" x14ac:dyDescent="0.25">
      <c r="A615" s="948"/>
      <c r="B615" s="30" t="s">
        <v>971</v>
      </c>
      <c r="C615" s="30" t="s">
        <v>972</v>
      </c>
      <c r="D615" s="295" t="s">
        <v>1150</v>
      </c>
      <c r="E615" s="291">
        <v>222016000</v>
      </c>
      <c r="F615" s="291">
        <v>64739434</v>
      </c>
      <c r="G615" s="292"/>
      <c r="H615" s="88"/>
      <c r="I615" s="88"/>
      <c r="J615" s="293"/>
      <c r="K615" s="88"/>
      <c r="L615" s="88"/>
      <c r="M615" s="88"/>
      <c r="N615" s="294"/>
      <c r="O615" s="88"/>
      <c r="P615" s="88"/>
      <c r="Q615" s="88"/>
      <c r="R615" s="88"/>
      <c r="S615" s="88"/>
      <c r="T615" s="88"/>
      <c r="U615" s="88"/>
      <c r="V615" s="88"/>
      <c r="W615" s="88"/>
      <c r="X615" s="88"/>
      <c r="Y615" s="88"/>
      <c r="Z615" s="88"/>
      <c r="AA615" s="88"/>
      <c r="AB615" s="88"/>
      <c r="AC615" s="88"/>
      <c r="AD615" s="88"/>
      <c r="AE615" s="88"/>
      <c r="AF615" s="88"/>
      <c r="AG615" s="88"/>
      <c r="AH615" s="88"/>
    </row>
    <row r="616" spans="1:34" ht="69.75" customHeight="1" x14ac:dyDescent="0.25">
      <c r="A616" s="953"/>
      <c r="B616" s="30" t="s">
        <v>975</v>
      </c>
      <c r="C616" s="30" t="s">
        <v>976</v>
      </c>
      <c r="D616" s="295" t="s">
        <v>381</v>
      </c>
      <c r="E616" s="291">
        <v>754641627</v>
      </c>
      <c r="F616" s="291">
        <v>192001861</v>
      </c>
      <c r="G616" s="292"/>
      <c r="H616" s="88"/>
      <c r="I616" s="88"/>
      <c r="J616" s="293"/>
      <c r="K616" s="88"/>
      <c r="L616" s="88"/>
      <c r="M616" s="88"/>
      <c r="N616" s="294"/>
      <c r="O616" s="88"/>
      <c r="P616" s="88"/>
      <c r="Q616" s="88"/>
      <c r="R616" s="88"/>
      <c r="S616" s="88"/>
      <c r="T616" s="88"/>
      <c r="U616" s="88"/>
      <c r="V616" s="88"/>
      <c r="W616" s="88"/>
      <c r="X616" s="88"/>
      <c r="Y616" s="88"/>
      <c r="Z616" s="88"/>
      <c r="AA616" s="88"/>
      <c r="AB616" s="88"/>
      <c r="AC616" s="88"/>
      <c r="AD616" s="88"/>
      <c r="AE616" s="88"/>
      <c r="AF616" s="88"/>
      <c r="AG616" s="88"/>
      <c r="AH616" s="88"/>
    </row>
    <row r="617" spans="1:34" ht="69.75" customHeight="1" x14ac:dyDescent="0.25">
      <c r="A617" s="952" t="s">
        <v>931</v>
      </c>
      <c r="B617" s="957" t="s">
        <v>963</v>
      </c>
      <c r="C617" s="957" t="s">
        <v>964</v>
      </c>
      <c r="D617" s="290" t="s">
        <v>344</v>
      </c>
      <c r="E617" s="291">
        <v>556207000</v>
      </c>
      <c r="F617" s="291">
        <v>225108767</v>
      </c>
      <c r="G617" s="292"/>
      <c r="H617" s="88"/>
      <c r="I617" s="88"/>
      <c r="J617" s="293"/>
      <c r="K617" s="88"/>
      <c r="L617" s="88"/>
      <c r="M617" s="88"/>
      <c r="N617" s="294"/>
      <c r="O617" s="88"/>
      <c r="P617" s="88"/>
      <c r="Q617" s="88"/>
      <c r="R617" s="88"/>
      <c r="S617" s="88"/>
      <c r="T617" s="88"/>
      <c r="U617" s="88"/>
      <c r="V617" s="88"/>
      <c r="W617" s="88"/>
      <c r="X617" s="88"/>
      <c r="Y617" s="88"/>
      <c r="Z617" s="88"/>
      <c r="AA617" s="88"/>
      <c r="AB617" s="88"/>
      <c r="AC617" s="88"/>
      <c r="AD617" s="88"/>
      <c r="AE617" s="88"/>
      <c r="AF617" s="88"/>
      <c r="AG617" s="88"/>
      <c r="AH617" s="88"/>
    </row>
    <row r="618" spans="1:34" ht="69.75" customHeight="1" x14ac:dyDescent="0.25">
      <c r="A618" s="948"/>
      <c r="B618" s="694"/>
      <c r="C618" s="694"/>
      <c r="D618" s="290" t="s">
        <v>355</v>
      </c>
      <c r="E618" s="291">
        <v>172920000</v>
      </c>
      <c r="F618" s="291">
        <v>73923300</v>
      </c>
      <c r="G618" s="292"/>
      <c r="H618" s="88"/>
      <c r="I618" s="88"/>
      <c r="J618" s="293"/>
      <c r="K618" s="88"/>
      <c r="L618" s="88"/>
      <c r="M618" s="88"/>
      <c r="N618" s="294"/>
      <c r="O618" s="88"/>
      <c r="P618" s="88"/>
      <c r="Q618" s="88"/>
      <c r="R618" s="88"/>
      <c r="S618" s="88"/>
      <c r="T618" s="88"/>
      <c r="U618" s="88"/>
      <c r="V618" s="88"/>
      <c r="W618" s="88"/>
      <c r="X618" s="88"/>
      <c r="Y618" s="88"/>
      <c r="Z618" s="88"/>
      <c r="AA618" s="88"/>
      <c r="AB618" s="88"/>
      <c r="AC618" s="88"/>
      <c r="AD618" s="88"/>
      <c r="AE618" s="88"/>
      <c r="AF618" s="88"/>
      <c r="AG618" s="88"/>
      <c r="AH618" s="88"/>
    </row>
    <row r="619" spans="1:34" ht="69.75" customHeight="1" x14ac:dyDescent="0.25">
      <c r="A619" s="948"/>
      <c r="B619" s="733"/>
      <c r="C619" s="733"/>
      <c r="D619" s="290" t="s">
        <v>358</v>
      </c>
      <c r="E619" s="291">
        <v>27200000</v>
      </c>
      <c r="F619" s="291">
        <v>12965333</v>
      </c>
      <c r="G619" s="292"/>
      <c r="H619" s="88"/>
      <c r="I619" s="88"/>
      <c r="J619" s="293"/>
      <c r="K619" s="88"/>
      <c r="L619" s="88"/>
      <c r="M619" s="88"/>
      <c r="N619" s="294"/>
      <c r="O619" s="88"/>
      <c r="P619" s="88"/>
      <c r="Q619" s="88"/>
      <c r="R619" s="88"/>
      <c r="S619" s="88"/>
      <c r="T619" s="88"/>
      <c r="U619" s="88"/>
      <c r="V619" s="88"/>
      <c r="W619" s="88"/>
      <c r="X619" s="88"/>
      <c r="Y619" s="88"/>
      <c r="Z619" s="88"/>
      <c r="AA619" s="88"/>
      <c r="AB619" s="88"/>
      <c r="AC619" s="88"/>
      <c r="AD619" s="88"/>
      <c r="AE619" s="88"/>
      <c r="AF619" s="88"/>
      <c r="AG619" s="88"/>
      <c r="AH619" s="88"/>
    </row>
    <row r="620" spans="1:34" ht="69.75" customHeight="1" x14ac:dyDescent="0.25">
      <c r="A620" s="948"/>
      <c r="B620" s="965" t="s">
        <v>967</v>
      </c>
      <c r="C620" s="965" t="s">
        <v>968</v>
      </c>
      <c r="D620" s="295" t="s">
        <v>362</v>
      </c>
      <c r="E620" s="291">
        <v>67897116</v>
      </c>
      <c r="F620" s="291">
        <v>28290500</v>
      </c>
      <c r="G620" s="292"/>
      <c r="H620" s="88"/>
      <c r="I620" s="88"/>
      <c r="J620" s="293"/>
      <c r="K620" s="88"/>
      <c r="L620" s="88"/>
      <c r="M620" s="88"/>
      <c r="N620" s="294"/>
      <c r="O620" s="88"/>
      <c r="P620" s="88"/>
      <c r="Q620" s="88"/>
      <c r="R620" s="88"/>
      <c r="S620" s="88"/>
      <c r="T620" s="88"/>
      <c r="U620" s="88"/>
      <c r="V620" s="88"/>
      <c r="W620" s="88"/>
      <c r="X620" s="88"/>
      <c r="Y620" s="88"/>
      <c r="Z620" s="88"/>
      <c r="AA620" s="88"/>
      <c r="AB620" s="88"/>
      <c r="AC620" s="88"/>
      <c r="AD620" s="88"/>
      <c r="AE620" s="88"/>
      <c r="AF620" s="88"/>
      <c r="AG620" s="88"/>
      <c r="AH620" s="88"/>
    </row>
    <row r="621" spans="1:34" ht="69.75" customHeight="1" x14ac:dyDescent="0.25">
      <c r="A621" s="948"/>
      <c r="B621" s="694"/>
      <c r="C621" s="694"/>
      <c r="D621" s="295" t="s">
        <v>1148</v>
      </c>
      <c r="E621" s="291">
        <v>375068706</v>
      </c>
      <c r="F621" s="291">
        <v>155398666</v>
      </c>
      <c r="G621" s="292"/>
      <c r="H621" s="88"/>
      <c r="I621" s="88"/>
      <c r="J621" s="293"/>
      <c r="K621" s="88"/>
      <c r="L621" s="88"/>
      <c r="M621" s="88"/>
      <c r="N621" s="294"/>
      <c r="O621" s="88"/>
      <c r="P621" s="88"/>
      <c r="Q621" s="88"/>
      <c r="R621" s="88"/>
      <c r="S621" s="88"/>
      <c r="T621" s="88"/>
      <c r="U621" s="88"/>
      <c r="V621" s="88"/>
      <c r="W621" s="88"/>
      <c r="X621" s="88"/>
      <c r="Y621" s="88"/>
      <c r="Z621" s="88"/>
      <c r="AA621" s="88"/>
      <c r="AB621" s="88"/>
      <c r="AC621" s="88"/>
      <c r="AD621" s="88"/>
      <c r="AE621" s="88"/>
      <c r="AF621" s="88"/>
      <c r="AG621" s="88"/>
      <c r="AH621" s="88"/>
    </row>
    <row r="622" spans="1:34" ht="69.75" customHeight="1" x14ac:dyDescent="0.25">
      <c r="A622" s="948"/>
      <c r="B622" s="694"/>
      <c r="C622" s="694"/>
      <c r="D622" s="295" t="s">
        <v>1149</v>
      </c>
      <c r="E622" s="291">
        <v>313790000</v>
      </c>
      <c r="F622" s="291">
        <v>135982800</v>
      </c>
      <c r="G622" s="292"/>
      <c r="H622" s="88"/>
      <c r="I622" s="88"/>
      <c r="J622" s="293"/>
      <c r="K622" s="88"/>
      <c r="L622" s="88"/>
      <c r="M622" s="88"/>
      <c r="N622" s="294"/>
      <c r="O622" s="88"/>
      <c r="P622" s="88"/>
      <c r="Q622" s="88"/>
      <c r="R622" s="88"/>
      <c r="S622" s="88"/>
      <c r="T622" s="88"/>
      <c r="U622" s="88"/>
      <c r="V622" s="88"/>
      <c r="W622" s="88"/>
      <c r="X622" s="88"/>
      <c r="Y622" s="88"/>
      <c r="Z622" s="88"/>
      <c r="AA622" s="88"/>
      <c r="AB622" s="88"/>
      <c r="AC622" s="88"/>
      <c r="AD622" s="88"/>
      <c r="AE622" s="88"/>
      <c r="AF622" s="88"/>
      <c r="AG622" s="88"/>
      <c r="AH622" s="88"/>
    </row>
    <row r="623" spans="1:34" ht="69.75" customHeight="1" x14ac:dyDescent="0.25">
      <c r="A623" s="948"/>
      <c r="B623" s="733"/>
      <c r="C623" s="733"/>
      <c r="D623" s="295" t="s">
        <v>891</v>
      </c>
      <c r="E623" s="296">
        <v>443325000</v>
      </c>
      <c r="F623" s="296">
        <v>192585734</v>
      </c>
      <c r="G623" s="292"/>
      <c r="H623" s="88"/>
      <c r="I623" s="88"/>
      <c r="J623" s="293"/>
      <c r="K623" s="88"/>
      <c r="L623" s="88"/>
      <c r="M623" s="88"/>
      <c r="N623" s="294"/>
      <c r="O623" s="88"/>
      <c r="P623" s="88"/>
      <c r="Q623" s="88"/>
      <c r="R623" s="88"/>
      <c r="S623" s="88"/>
      <c r="T623" s="88"/>
      <c r="U623" s="88"/>
      <c r="V623" s="88"/>
      <c r="W623" s="88"/>
      <c r="X623" s="88"/>
      <c r="Y623" s="88"/>
      <c r="Z623" s="88"/>
      <c r="AA623" s="88"/>
      <c r="AB623" s="88"/>
      <c r="AC623" s="88"/>
      <c r="AD623" s="88"/>
      <c r="AE623" s="88"/>
      <c r="AF623" s="88"/>
      <c r="AG623" s="88"/>
      <c r="AH623" s="88"/>
    </row>
    <row r="624" spans="1:34" ht="69.75" customHeight="1" x14ac:dyDescent="0.25">
      <c r="A624" s="948"/>
      <c r="B624" s="30" t="s">
        <v>971</v>
      </c>
      <c r="C624" s="30" t="s">
        <v>972</v>
      </c>
      <c r="D624" s="295" t="s">
        <v>1150</v>
      </c>
      <c r="E624" s="291">
        <v>222016000</v>
      </c>
      <c r="F624" s="291">
        <v>86883434</v>
      </c>
      <c r="G624" s="292"/>
      <c r="H624" s="88"/>
      <c r="I624" s="88"/>
      <c r="J624" s="293"/>
      <c r="K624" s="88"/>
      <c r="L624" s="88"/>
      <c r="M624" s="88"/>
      <c r="N624" s="294"/>
      <c r="O624" s="88"/>
      <c r="P624" s="88"/>
      <c r="Q624" s="88"/>
      <c r="R624" s="88"/>
      <c r="S624" s="88"/>
      <c r="T624" s="88"/>
      <c r="U624" s="88"/>
      <c r="V624" s="88"/>
      <c r="W624" s="88"/>
      <c r="X624" s="88"/>
      <c r="Y624" s="88"/>
      <c r="Z624" s="88"/>
      <c r="AA624" s="88"/>
      <c r="AB624" s="88"/>
      <c r="AC624" s="88"/>
      <c r="AD624" s="88"/>
      <c r="AE624" s="88"/>
      <c r="AF624" s="88"/>
      <c r="AG624" s="88"/>
      <c r="AH624" s="88"/>
    </row>
    <row r="625" spans="1:34" ht="69.75" customHeight="1" x14ac:dyDescent="0.25">
      <c r="A625" s="953"/>
      <c r="B625" s="30" t="s">
        <v>975</v>
      </c>
      <c r="C625" s="30" t="s">
        <v>976</v>
      </c>
      <c r="D625" s="295" t="s">
        <v>381</v>
      </c>
      <c r="E625" s="291">
        <v>754641627</v>
      </c>
      <c r="F625" s="291">
        <v>291259304</v>
      </c>
      <c r="G625" s="292"/>
      <c r="H625" s="88"/>
      <c r="I625" s="88"/>
      <c r="J625" s="293"/>
      <c r="K625" s="88"/>
      <c r="L625" s="88"/>
      <c r="M625" s="88"/>
      <c r="N625" s="294"/>
      <c r="O625" s="88"/>
      <c r="P625" s="88"/>
      <c r="Q625" s="88"/>
      <c r="R625" s="88"/>
      <c r="S625" s="88"/>
      <c r="T625" s="88"/>
      <c r="U625" s="88"/>
      <c r="V625" s="88"/>
      <c r="W625" s="88"/>
      <c r="X625" s="88"/>
      <c r="Y625" s="88"/>
      <c r="Z625" s="88"/>
      <c r="AA625" s="88"/>
      <c r="AB625" s="88"/>
      <c r="AC625" s="88"/>
      <c r="AD625" s="88"/>
      <c r="AE625" s="88"/>
      <c r="AF625" s="88"/>
      <c r="AG625" s="88"/>
      <c r="AH625" s="88"/>
    </row>
    <row r="626" spans="1:34" ht="69.75" customHeight="1" x14ac:dyDescent="0.25">
      <c r="A626" s="952" t="s">
        <v>932</v>
      </c>
      <c r="B626" s="957" t="s">
        <v>963</v>
      </c>
      <c r="C626" s="957" t="s">
        <v>964</v>
      </c>
      <c r="D626" s="290" t="s">
        <v>344</v>
      </c>
      <c r="E626" s="291">
        <v>605339000</v>
      </c>
      <c r="F626" s="291">
        <v>276425767</v>
      </c>
      <c r="G626" s="292"/>
      <c r="H626" s="88"/>
      <c r="I626" s="88"/>
      <c r="J626" s="293"/>
      <c r="K626" s="88"/>
      <c r="L626" s="88"/>
      <c r="M626" s="88"/>
      <c r="N626" s="294"/>
      <c r="O626" s="88"/>
      <c r="P626" s="88"/>
      <c r="Q626" s="88"/>
      <c r="R626" s="88"/>
      <c r="S626" s="88"/>
      <c r="T626" s="88"/>
      <c r="U626" s="88"/>
      <c r="V626" s="88"/>
      <c r="W626" s="88"/>
      <c r="X626" s="88"/>
      <c r="Y626" s="88"/>
      <c r="Z626" s="88"/>
      <c r="AA626" s="88"/>
      <c r="AB626" s="88"/>
      <c r="AC626" s="88"/>
      <c r="AD626" s="88"/>
      <c r="AE626" s="88"/>
      <c r="AF626" s="88"/>
      <c r="AG626" s="88"/>
      <c r="AH626" s="88"/>
    </row>
    <row r="627" spans="1:34" ht="69.75" customHeight="1" x14ac:dyDescent="0.25">
      <c r="A627" s="948"/>
      <c r="B627" s="694"/>
      <c r="C627" s="694"/>
      <c r="D627" s="290" t="s">
        <v>355</v>
      </c>
      <c r="E627" s="291">
        <v>172920000</v>
      </c>
      <c r="F627" s="291">
        <v>91215300</v>
      </c>
      <c r="G627" s="292"/>
      <c r="H627" s="88"/>
      <c r="I627" s="88"/>
      <c r="J627" s="293"/>
      <c r="K627" s="88"/>
      <c r="L627" s="88"/>
      <c r="M627" s="88"/>
      <c r="N627" s="294"/>
      <c r="O627" s="88"/>
      <c r="P627" s="88"/>
      <c r="Q627" s="88"/>
      <c r="R627" s="88"/>
      <c r="S627" s="88"/>
      <c r="T627" s="88"/>
      <c r="U627" s="88"/>
      <c r="V627" s="88"/>
      <c r="W627" s="88"/>
      <c r="X627" s="88"/>
      <c r="Y627" s="88"/>
      <c r="Z627" s="88"/>
      <c r="AA627" s="88"/>
      <c r="AB627" s="88"/>
      <c r="AC627" s="88"/>
      <c r="AD627" s="88"/>
      <c r="AE627" s="88"/>
      <c r="AF627" s="88"/>
      <c r="AG627" s="88"/>
      <c r="AH627" s="88"/>
    </row>
    <row r="628" spans="1:34" ht="69.75" customHeight="1" x14ac:dyDescent="0.25">
      <c r="A628" s="948"/>
      <c r="B628" s="733"/>
      <c r="C628" s="733"/>
      <c r="D628" s="290" t="s">
        <v>358</v>
      </c>
      <c r="E628" s="291">
        <v>29920000</v>
      </c>
      <c r="F628" s="291">
        <v>15685333</v>
      </c>
      <c r="G628" s="292"/>
      <c r="H628" s="88"/>
      <c r="I628" s="88"/>
      <c r="J628" s="293"/>
      <c r="K628" s="88"/>
      <c r="L628" s="88"/>
      <c r="M628" s="88"/>
      <c r="N628" s="294"/>
      <c r="O628" s="88"/>
      <c r="P628" s="88"/>
      <c r="Q628" s="88"/>
      <c r="R628" s="88"/>
      <c r="S628" s="88"/>
      <c r="T628" s="88"/>
      <c r="U628" s="88"/>
      <c r="V628" s="88"/>
      <c r="W628" s="88"/>
      <c r="X628" s="88"/>
      <c r="Y628" s="88"/>
      <c r="Z628" s="88"/>
      <c r="AA628" s="88"/>
      <c r="AB628" s="88"/>
      <c r="AC628" s="88"/>
      <c r="AD628" s="88"/>
      <c r="AE628" s="88"/>
      <c r="AF628" s="88"/>
      <c r="AG628" s="88"/>
      <c r="AH628" s="88"/>
    </row>
    <row r="629" spans="1:34" ht="69.75" customHeight="1" x14ac:dyDescent="0.25">
      <c r="A629" s="948"/>
      <c r="B629" s="965" t="s">
        <v>967</v>
      </c>
      <c r="C629" s="965" t="s">
        <v>968</v>
      </c>
      <c r="D629" s="295" t="s">
        <v>362</v>
      </c>
      <c r="E629" s="291">
        <v>76788500</v>
      </c>
      <c r="F629" s="291">
        <v>36373500</v>
      </c>
      <c r="G629" s="292"/>
      <c r="H629" s="88"/>
      <c r="I629" s="88"/>
      <c r="J629" s="293"/>
      <c r="K629" s="88"/>
      <c r="L629" s="88"/>
      <c r="M629" s="88"/>
      <c r="N629" s="294"/>
      <c r="O629" s="88"/>
      <c r="P629" s="88"/>
      <c r="Q629" s="88"/>
      <c r="R629" s="88"/>
      <c r="S629" s="88"/>
      <c r="T629" s="88"/>
      <c r="U629" s="88"/>
      <c r="V629" s="88"/>
      <c r="W629" s="88"/>
      <c r="X629" s="88"/>
      <c r="Y629" s="88"/>
      <c r="Z629" s="88"/>
      <c r="AA629" s="88"/>
      <c r="AB629" s="88"/>
      <c r="AC629" s="88"/>
      <c r="AD629" s="88"/>
      <c r="AE629" s="88"/>
      <c r="AF629" s="88"/>
      <c r="AG629" s="88"/>
      <c r="AH629" s="88"/>
    </row>
    <row r="630" spans="1:34" ht="69.75" customHeight="1" x14ac:dyDescent="0.25">
      <c r="A630" s="948"/>
      <c r="B630" s="694"/>
      <c r="C630" s="694"/>
      <c r="D630" s="295" t="s">
        <v>1148</v>
      </c>
      <c r="E630" s="291">
        <v>734844689</v>
      </c>
      <c r="F630" s="291">
        <v>198746666</v>
      </c>
      <c r="G630" s="292"/>
      <c r="H630" s="88"/>
      <c r="I630" s="88"/>
      <c r="J630" s="293"/>
      <c r="K630" s="88"/>
      <c r="L630" s="88"/>
      <c r="M630" s="88"/>
      <c r="N630" s="294"/>
      <c r="O630" s="88"/>
      <c r="P630" s="88"/>
      <c r="Q630" s="88"/>
      <c r="R630" s="88"/>
      <c r="S630" s="88"/>
      <c r="T630" s="88"/>
      <c r="U630" s="88"/>
      <c r="V630" s="88"/>
      <c r="W630" s="88"/>
      <c r="X630" s="88"/>
      <c r="Y630" s="88"/>
      <c r="Z630" s="88"/>
      <c r="AA630" s="88"/>
      <c r="AB630" s="88"/>
      <c r="AC630" s="88"/>
      <c r="AD630" s="88"/>
      <c r="AE630" s="88"/>
      <c r="AF630" s="88"/>
      <c r="AG630" s="88"/>
      <c r="AH630" s="88"/>
    </row>
    <row r="631" spans="1:34" ht="69.75" customHeight="1" x14ac:dyDescent="0.25">
      <c r="A631" s="948"/>
      <c r="B631" s="694"/>
      <c r="C631" s="694"/>
      <c r="D631" s="295" t="s">
        <v>1149</v>
      </c>
      <c r="E631" s="291">
        <v>333790000</v>
      </c>
      <c r="F631" s="291">
        <v>163923800</v>
      </c>
      <c r="G631" s="292"/>
      <c r="H631" s="88"/>
      <c r="I631" s="88"/>
      <c r="J631" s="293"/>
      <c r="K631" s="88"/>
      <c r="L631" s="88"/>
      <c r="M631" s="88"/>
      <c r="N631" s="294"/>
      <c r="O631" s="88"/>
      <c r="P631" s="88"/>
      <c r="Q631" s="88"/>
      <c r="R631" s="88"/>
      <c r="S631" s="88"/>
      <c r="T631" s="88"/>
      <c r="U631" s="88"/>
      <c r="V631" s="88"/>
      <c r="W631" s="88"/>
      <c r="X631" s="88"/>
      <c r="Y631" s="88"/>
      <c r="Z631" s="88"/>
      <c r="AA631" s="88"/>
      <c r="AB631" s="88"/>
      <c r="AC631" s="88"/>
      <c r="AD631" s="88"/>
      <c r="AE631" s="88"/>
      <c r="AF631" s="88"/>
      <c r="AG631" s="88"/>
      <c r="AH631" s="88"/>
    </row>
    <row r="632" spans="1:34" ht="69.75" customHeight="1" x14ac:dyDescent="0.25">
      <c r="A632" s="948"/>
      <c r="B632" s="733"/>
      <c r="C632" s="733"/>
      <c r="D632" s="295" t="s">
        <v>891</v>
      </c>
      <c r="E632" s="296">
        <v>443888000</v>
      </c>
      <c r="F632" s="296">
        <v>239079734</v>
      </c>
      <c r="G632" s="292"/>
      <c r="H632" s="88"/>
      <c r="I632" s="88"/>
      <c r="J632" s="293"/>
      <c r="K632" s="88"/>
      <c r="L632" s="88"/>
      <c r="M632" s="88"/>
      <c r="N632" s="294"/>
      <c r="O632" s="88"/>
      <c r="P632" s="88"/>
      <c r="Q632" s="88"/>
      <c r="R632" s="88"/>
      <c r="S632" s="88"/>
      <c r="T632" s="88"/>
      <c r="U632" s="88"/>
      <c r="V632" s="88"/>
      <c r="W632" s="88"/>
      <c r="X632" s="88"/>
      <c r="Y632" s="88"/>
      <c r="Z632" s="88"/>
      <c r="AA632" s="88"/>
      <c r="AB632" s="88"/>
      <c r="AC632" s="88"/>
      <c r="AD632" s="88"/>
      <c r="AE632" s="88"/>
      <c r="AF632" s="88"/>
      <c r="AG632" s="88"/>
      <c r="AH632" s="88"/>
    </row>
    <row r="633" spans="1:34" ht="69.75" customHeight="1" x14ac:dyDescent="0.25">
      <c r="A633" s="948"/>
      <c r="B633" s="30" t="s">
        <v>971</v>
      </c>
      <c r="C633" s="30" t="s">
        <v>972</v>
      </c>
      <c r="D633" s="295" t="s">
        <v>1150</v>
      </c>
      <c r="E633" s="291">
        <v>277709000</v>
      </c>
      <c r="F633" s="291">
        <v>109027434</v>
      </c>
      <c r="G633" s="292"/>
      <c r="H633" s="88"/>
      <c r="I633" s="88"/>
      <c r="J633" s="293"/>
      <c r="K633" s="88"/>
      <c r="L633" s="88"/>
      <c r="M633" s="88"/>
      <c r="N633" s="294"/>
      <c r="O633" s="88"/>
      <c r="P633" s="88"/>
      <c r="Q633" s="88"/>
      <c r="R633" s="88"/>
      <c r="S633" s="88"/>
      <c r="T633" s="88"/>
      <c r="U633" s="88"/>
      <c r="V633" s="88"/>
      <c r="W633" s="88"/>
      <c r="X633" s="88"/>
      <c r="Y633" s="88"/>
      <c r="Z633" s="88"/>
      <c r="AA633" s="88"/>
      <c r="AB633" s="88"/>
      <c r="AC633" s="88"/>
      <c r="AD633" s="88"/>
      <c r="AE633" s="88"/>
      <c r="AF633" s="88"/>
      <c r="AG633" s="88"/>
      <c r="AH633" s="88"/>
    </row>
    <row r="634" spans="1:34" ht="69.75" customHeight="1" x14ac:dyDescent="0.25">
      <c r="A634" s="953"/>
      <c r="B634" s="30" t="s">
        <v>975</v>
      </c>
      <c r="C634" s="30" t="s">
        <v>976</v>
      </c>
      <c r="D634" s="295" t="s">
        <v>381</v>
      </c>
      <c r="E634" s="291">
        <v>779641627</v>
      </c>
      <c r="F634" s="291">
        <v>382449164</v>
      </c>
      <c r="G634" s="292"/>
      <c r="H634" s="88"/>
      <c r="I634" s="88"/>
      <c r="J634" s="293"/>
      <c r="K634" s="88"/>
      <c r="L634" s="88"/>
      <c r="M634" s="88"/>
      <c r="N634" s="294"/>
      <c r="O634" s="88"/>
      <c r="P634" s="88"/>
      <c r="Q634" s="88"/>
      <c r="R634" s="88"/>
      <c r="S634" s="88"/>
      <c r="T634" s="88"/>
      <c r="U634" s="88"/>
      <c r="V634" s="88"/>
      <c r="W634" s="88"/>
      <c r="X634" s="88"/>
      <c r="Y634" s="88"/>
      <c r="Z634" s="88"/>
      <c r="AA634" s="88"/>
      <c r="AB634" s="88"/>
      <c r="AC634" s="88"/>
      <c r="AD634" s="88"/>
      <c r="AE634" s="88"/>
      <c r="AF634" s="88"/>
      <c r="AG634" s="88"/>
      <c r="AH634" s="88"/>
    </row>
    <row r="635" spans="1:34" ht="69.75" customHeight="1" x14ac:dyDescent="0.25">
      <c r="A635" s="952" t="s">
        <v>933</v>
      </c>
      <c r="B635" s="957" t="s">
        <v>963</v>
      </c>
      <c r="C635" s="957" t="s">
        <v>964</v>
      </c>
      <c r="D635" s="290" t="s">
        <v>344</v>
      </c>
      <c r="E635" s="291">
        <v>605339000</v>
      </c>
      <c r="F635" s="291">
        <v>327742767</v>
      </c>
      <c r="G635" s="292"/>
      <c r="H635" s="88"/>
      <c r="I635" s="88"/>
      <c r="J635" s="293"/>
      <c r="K635" s="88"/>
      <c r="L635" s="88"/>
      <c r="M635" s="88"/>
      <c r="N635" s="294"/>
      <c r="O635" s="88"/>
      <c r="P635" s="88"/>
      <c r="Q635" s="88"/>
      <c r="R635" s="88"/>
      <c r="S635" s="88"/>
      <c r="T635" s="88"/>
      <c r="U635" s="88"/>
      <c r="V635" s="88"/>
      <c r="W635" s="88"/>
      <c r="X635" s="88"/>
      <c r="Y635" s="88"/>
      <c r="Z635" s="88"/>
      <c r="AA635" s="88"/>
      <c r="AB635" s="88"/>
      <c r="AC635" s="88"/>
      <c r="AD635" s="88"/>
      <c r="AE635" s="88"/>
      <c r="AF635" s="88"/>
      <c r="AG635" s="88"/>
      <c r="AH635" s="88"/>
    </row>
    <row r="636" spans="1:34" ht="69.75" customHeight="1" x14ac:dyDescent="0.25">
      <c r="A636" s="948"/>
      <c r="B636" s="694"/>
      <c r="C636" s="694"/>
      <c r="D636" s="290" t="s">
        <v>355</v>
      </c>
      <c r="E636" s="291">
        <v>172920000</v>
      </c>
      <c r="F636" s="291">
        <v>108507300</v>
      </c>
      <c r="G636" s="292"/>
      <c r="H636" s="88"/>
      <c r="I636" s="88"/>
      <c r="J636" s="293"/>
      <c r="K636" s="88"/>
      <c r="L636" s="88"/>
      <c r="M636" s="88"/>
      <c r="N636" s="294"/>
      <c r="O636" s="88"/>
      <c r="P636" s="88"/>
      <c r="Q636" s="88"/>
      <c r="R636" s="88"/>
      <c r="S636" s="88"/>
      <c r="T636" s="88"/>
      <c r="U636" s="88"/>
      <c r="V636" s="88"/>
      <c r="W636" s="88"/>
      <c r="X636" s="88"/>
      <c r="Y636" s="88"/>
      <c r="Z636" s="88"/>
      <c r="AA636" s="88"/>
      <c r="AB636" s="88"/>
      <c r="AC636" s="88"/>
      <c r="AD636" s="88"/>
      <c r="AE636" s="88"/>
      <c r="AF636" s="88"/>
      <c r="AG636" s="88"/>
      <c r="AH636" s="88"/>
    </row>
    <row r="637" spans="1:34" ht="69.75" customHeight="1" x14ac:dyDescent="0.25">
      <c r="A637" s="948"/>
      <c r="B637" s="733"/>
      <c r="C637" s="733"/>
      <c r="D637" s="290" t="s">
        <v>358</v>
      </c>
      <c r="E637" s="291">
        <v>29920000</v>
      </c>
      <c r="F637" s="291">
        <v>18405333</v>
      </c>
      <c r="G637" s="292"/>
      <c r="H637" s="88"/>
      <c r="I637" s="88"/>
      <c r="J637" s="293"/>
      <c r="K637" s="88"/>
      <c r="L637" s="88"/>
      <c r="M637" s="88"/>
      <c r="N637" s="294"/>
      <c r="O637" s="88"/>
      <c r="P637" s="88"/>
      <c r="Q637" s="88"/>
      <c r="R637" s="88"/>
      <c r="S637" s="88"/>
      <c r="T637" s="88"/>
      <c r="U637" s="88"/>
      <c r="V637" s="88"/>
      <c r="W637" s="88"/>
      <c r="X637" s="88"/>
      <c r="Y637" s="88"/>
      <c r="Z637" s="88"/>
      <c r="AA637" s="88"/>
      <c r="AB637" s="88"/>
      <c r="AC637" s="88"/>
      <c r="AD637" s="88"/>
      <c r="AE637" s="88"/>
      <c r="AF637" s="88"/>
      <c r="AG637" s="88"/>
      <c r="AH637" s="88"/>
    </row>
    <row r="638" spans="1:34" ht="69.75" customHeight="1" x14ac:dyDescent="0.25">
      <c r="A638" s="948"/>
      <c r="B638" s="965" t="s">
        <v>967</v>
      </c>
      <c r="C638" s="965" t="s">
        <v>968</v>
      </c>
      <c r="D638" s="295" t="s">
        <v>362</v>
      </c>
      <c r="E638" s="291">
        <v>76788500</v>
      </c>
      <c r="F638" s="291">
        <v>44456500</v>
      </c>
      <c r="G638" s="292"/>
      <c r="H638" s="88"/>
      <c r="I638" s="88"/>
      <c r="J638" s="293"/>
      <c r="K638" s="88"/>
      <c r="L638" s="88"/>
      <c r="M638" s="88"/>
      <c r="N638" s="294"/>
      <c r="O638" s="88"/>
      <c r="P638" s="88"/>
      <c r="Q638" s="88"/>
      <c r="R638" s="88"/>
      <c r="S638" s="88"/>
      <c r="T638" s="88"/>
      <c r="U638" s="88"/>
      <c r="V638" s="88"/>
      <c r="W638" s="88"/>
      <c r="X638" s="88"/>
      <c r="Y638" s="88"/>
      <c r="Z638" s="88"/>
      <c r="AA638" s="88"/>
      <c r="AB638" s="88"/>
      <c r="AC638" s="88"/>
      <c r="AD638" s="88"/>
      <c r="AE638" s="88"/>
      <c r="AF638" s="88"/>
      <c r="AG638" s="88"/>
      <c r="AH638" s="88"/>
    </row>
    <row r="639" spans="1:34" ht="69.75" customHeight="1" x14ac:dyDescent="0.25">
      <c r="A639" s="948"/>
      <c r="B639" s="694"/>
      <c r="C639" s="694"/>
      <c r="D639" s="295" t="s">
        <v>1148</v>
      </c>
      <c r="E639" s="291">
        <v>734844689</v>
      </c>
      <c r="F639" s="291">
        <v>242094666</v>
      </c>
      <c r="G639" s="292"/>
      <c r="H639" s="88"/>
      <c r="I639" s="88"/>
      <c r="J639" s="293"/>
      <c r="K639" s="88"/>
      <c r="L639" s="88"/>
      <c r="M639" s="88"/>
      <c r="N639" s="294"/>
      <c r="O639" s="88"/>
      <c r="P639" s="88"/>
      <c r="Q639" s="88"/>
      <c r="R639" s="88"/>
      <c r="S639" s="88"/>
      <c r="T639" s="88"/>
      <c r="U639" s="88"/>
      <c r="V639" s="88"/>
      <c r="W639" s="88"/>
      <c r="X639" s="88"/>
      <c r="Y639" s="88"/>
      <c r="Z639" s="88"/>
      <c r="AA639" s="88"/>
      <c r="AB639" s="88"/>
      <c r="AC639" s="88"/>
      <c r="AD639" s="88"/>
      <c r="AE639" s="88"/>
      <c r="AF639" s="88"/>
      <c r="AG639" s="88"/>
      <c r="AH639" s="88"/>
    </row>
    <row r="640" spans="1:34" ht="69.75" customHeight="1" x14ac:dyDescent="0.25">
      <c r="A640" s="948"/>
      <c r="B640" s="694"/>
      <c r="C640" s="694"/>
      <c r="D640" s="295" t="s">
        <v>1149</v>
      </c>
      <c r="E640" s="291">
        <v>333790000</v>
      </c>
      <c r="F640" s="291">
        <v>195302800</v>
      </c>
      <c r="G640" s="292"/>
      <c r="H640" s="88"/>
      <c r="I640" s="88"/>
      <c r="J640" s="293"/>
      <c r="K640" s="88"/>
      <c r="L640" s="88"/>
      <c r="M640" s="88"/>
      <c r="N640" s="294"/>
      <c r="O640" s="88"/>
      <c r="P640" s="88"/>
      <c r="Q640" s="88"/>
      <c r="R640" s="88"/>
      <c r="S640" s="88"/>
      <c r="T640" s="88"/>
      <c r="U640" s="88"/>
      <c r="V640" s="88"/>
      <c r="W640" s="88"/>
      <c r="X640" s="88"/>
      <c r="Y640" s="88"/>
      <c r="Z640" s="88"/>
      <c r="AA640" s="88"/>
      <c r="AB640" s="88"/>
      <c r="AC640" s="88"/>
      <c r="AD640" s="88"/>
      <c r="AE640" s="88"/>
      <c r="AF640" s="88"/>
      <c r="AG640" s="88"/>
      <c r="AH640" s="88"/>
    </row>
    <row r="641" spans="1:34" ht="69.75" customHeight="1" x14ac:dyDescent="0.25">
      <c r="A641" s="948"/>
      <c r="B641" s="733"/>
      <c r="C641" s="733"/>
      <c r="D641" s="295" t="s">
        <v>891</v>
      </c>
      <c r="E641" s="296">
        <v>443888000</v>
      </c>
      <c r="F641" s="296">
        <v>281250734</v>
      </c>
      <c r="G641" s="292"/>
      <c r="H641" s="88"/>
      <c r="I641" s="88"/>
      <c r="J641" s="293"/>
      <c r="K641" s="88"/>
      <c r="L641" s="88"/>
      <c r="M641" s="88"/>
      <c r="N641" s="294"/>
      <c r="O641" s="88"/>
      <c r="P641" s="88"/>
      <c r="Q641" s="88"/>
      <c r="R641" s="88"/>
      <c r="S641" s="88"/>
      <c r="T641" s="88"/>
      <c r="U641" s="88"/>
      <c r="V641" s="88"/>
      <c r="W641" s="88"/>
      <c r="X641" s="88"/>
      <c r="Y641" s="88"/>
      <c r="Z641" s="88"/>
      <c r="AA641" s="88"/>
      <c r="AB641" s="88"/>
      <c r="AC641" s="88"/>
      <c r="AD641" s="88"/>
      <c r="AE641" s="88"/>
      <c r="AF641" s="88"/>
      <c r="AG641" s="88"/>
      <c r="AH641" s="88"/>
    </row>
    <row r="642" spans="1:34" ht="69.75" customHeight="1" x14ac:dyDescent="0.25">
      <c r="A642" s="948"/>
      <c r="B642" s="30" t="s">
        <v>971</v>
      </c>
      <c r="C642" s="30" t="s">
        <v>972</v>
      </c>
      <c r="D642" s="295" t="s">
        <v>1150</v>
      </c>
      <c r="E642" s="291">
        <v>277709000</v>
      </c>
      <c r="F642" s="291">
        <v>135160101</v>
      </c>
      <c r="G642" s="292"/>
      <c r="H642" s="88"/>
      <c r="I642" s="88"/>
      <c r="J642" s="293"/>
      <c r="K642" s="88"/>
      <c r="L642" s="88"/>
      <c r="M642" s="88"/>
      <c r="N642" s="294"/>
      <c r="O642" s="88"/>
      <c r="P642" s="88"/>
      <c r="Q642" s="88"/>
      <c r="R642" s="88"/>
      <c r="S642" s="88"/>
      <c r="T642" s="88"/>
      <c r="U642" s="88"/>
      <c r="V642" s="88"/>
      <c r="W642" s="88"/>
      <c r="X642" s="88"/>
      <c r="Y642" s="88"/>
      <c r="Z642" s="88"/>
      <c r="AA642" s="88"/>
      <c r="AB642" s="88"/>
      <c r="AC642" s="88"/>
      <c r="AD642" s="88"/>
      <c r="AE642" s="88"/>
      <c r="AF642" s="88"/>
      <c r="AG642" s="88"/>
      <c r="AH642" s="88"/>
    </row>
    <row r="643" spans="1:34" ht="42.75" customHeight="1" x14ac:dyDescent="0.25">
      <c r="A643" s="953"/>
      <c r="B643" s="30" t="s">
        <v>975</v>
      </c>
      <c r="C643" s="30" t="s">
        <v>976</v>
      </c>
      <c r="D643" s="295" t="s">
        <v>381</v>
      </c>
      <c r="E643" s="291">
        <v>779641627</v>
      </c>
      <c r="F643" s="291">
        <v>454216764</v>
      </c>
      <c r="G643" s="292"/>
      <c r="H643" s="88"/>
      <c r="I643" s="88"/>
      <c r="J643" s="293"/>
      <c r="K643" s="88"/>
      <c r="L643" s="88"/>
      <c r="M643" s="88"/>
      <c r="N643" s="294"/>
      <c r="O643" s="88"/>
      <c r="P643" s="88"/>
      <c r="Q643" s="88"/>
      <c r="R643" s="88"/>
      <c r="S643" s="88"/>
      <c r="T643" s="88"/>
      <c r="U643" s="88"/>
      <c r="V643" s="88"/>
      <c r="W643" s="88"/>
      <c r="X643" s="88"/>
      <c r="Y643" s="88"/>
      <c r="Z643" s="88"/>
      <c r="AA643" s="88"/>
      <c r="AB643" s="88"/>
      <c r="AC643" s="88"/>
      <c r="AD643" s="88"/>
      <c r="AE643" s="88"/>
      <c r="AF643" s="88"/>
      <c r="AG643" s="88"/>
      <c r="AH643" s="88"/>
    </row>
    <row r="644" spans="1:34" ht="69.75" customHeight="1" x14ac:dyDescent="0.25">
      <c r="A644" s="952" t="s">
        <v>934</v>
      </c>
      <c r="B644" s="957" t="s">
        <v>963</v>
      </c>
      <c r="C644" s="957" t="s">
        <v>964</v>
      </c>
      <c r="D644" s="290" t="s">
        <v>344</v>
      </c>
      <c r="E644" s="291">
        <v>605339000</v>
      </c>
      <c r="F644" s="291">
        <v>379059767</v>
      </c>
      <c r="G644" s="292"/>
      <c r="H644" s="88"/>
      <c r="I644" s="88"/>
      <c r="J644" s="293"/>
      <c r="K644" s="88"/>
      <c r="L644" s="88"/>
      <c r="M644" s="88"/>
      <c r="N644" s="294"/>
      <c r="O644" s="88"/>
      <c r="P644" s="88"/>
      <c r="Q644" s="88"/>
      <c r="R644" s="88"/>
      <c r="S644" s="88"/>
      <c r="T644" s="88"/>
      <c r="U644" s="88"/>
      <c r="V644" s="88"/>
      <c r="W644" s="88"/>
      <c r="X644" s="88"/>
      <c r="Y644" s="88"/>
      <c r="Z644" s="88"/>
      <c r="AA644" s="88"/>
      <c r="AB644" s="88"/>
      <c r="AC644" s="88"/>
      <c r="AD644" s="88"/>
      <c r="AE644" s="88"/>
      <c r="AF644" s="88"/>
      <c r="AG644" s="88"/>
      <c r="AH644" s="88"/>
    </row>
    <row r="645" spans="1:34" ht="69.75" customHeight="1" x14ac:dyDescent="0.25">
      <c r="A645" s="948"/>
      <c r="B645" s="694"/>
      <c r="C645" s="694"/>
      <c r="D645" s="290" t="s">
        <v>355</v>
      </c>
      <c r="E645" s="291">
        <v>172920000</v>
      </c>
      <c r="F645" s="291">
        <v>125799300</v>
      </c>
      <c r="G645" s="292"/>
      <c r="H645" s="88"/>
      <c r="I645" s="88"/>
      <c r="J645" s="293"/>
      <c r="K645" s="88"/>
      <c r="L645" s="88"/>
      <c r="M645" s="88"/>
      <c r="N645" s="294"/>
      <c r="O645" s="88"/>
      <c r="P645" s="88"/>
      <c r="Q645" s="88"/>
      <c r="R645" s="88"/>
      <c r="S645" s="88"/>
      <c r="T645" s="88"/>
      <c r="U645" s="88"/>
      <c r="V645" s="88"/>
      <c r="W645" s="88"/>
      <c r="X645" s="88"/>
      <c r="Y645" s="88"/>
      <c r="Z645" s="88"/>
      <c r="AA645" s="88"/>
      <c r="AB645" s="88"/>
      <c r="AC645" s="88"/>
      <c r="AD645" s="88"/>
      <c r="AE645" s="88"/>
      <c r="AF645" s="88"/>
      <c r="AG645" s="88"/>
      <c r="AH645" s="88"/>
    </row>
    <row r="646" spans="1:34" ht="69.75" customHeight="1" x14ac:dyDescent="0.25">
      <c r="A646" s="948"/>
      <c r="B646" s="733"/>
      <c r="C646" s="733"/>
      <c r="D646" s="290" t="s">
        <v>358</v>
      </c>
      <c r="E646" s="291">
        <v>29920000</v>
      </c>
      <c r="F646" s="291">
        <v>21125333</v>
      </c>
      <c r="G646" s="292"/>
      <c r="H646" s="88"/>
      <c r="I646" s="88"/>
      <c r="J646" s="293"/>
      <c r="K646" s="88"/>
      <c r="L646" s="88"/>
      <c r="M646" s="88"/>
      <c r="N646" s="294"/>
      <c r="O646" s="88"/>
      <c r="P646" s="88"/>
      <c r="Q646" s="88"/>
      <c r="R646" s="88"/>
      <c r="S646" s="88"/>
      <c r="T646" s="88"/>
      <c r="U646" s="88"/>
      <c r="V646" s="88"/>
      <c r="W646" s="88"/>
      <c r="X646" s="88"/>
      <c r="Y646" s="88"/>
      <c r="Z646" s="88"/>
      <c r="AA646" s="88"/>
      <c r="AB646" s="88"/>
      <c r="AC646" s="88"/>
      <c r="AD646" s="88"/>
      <c r="AE646" s="88"/>
      <c r="AF646" s="88"/>
      <c r="AG646" s="88"/>
      <c r="AH646" s="88"/>
    </row>
    <row r="647" spans="1:34" ht="69.75" customHeight="1" x14ac:dyDescent="0.25">
      <c r="A647" s="948"/>
      <c r="B647" s="965" t="s">
        <v>967</v>
      </c>
      <c r="C647" s="965" t="s">
        <v>968</v>
      </c>
      <c r="D647" s="295" t="s">
        <v>362</v>
      </c>
      <c r="E647" s="291">
        <v>76788500</v>
      </c>
      <c r="F647" s="291">
        <v>52539500</v>
      </c>
      <c r="G647" s="292"/>
      <c r="H647" s="88"/>
      <c r="I647" s="88"/>
      <c r="J647" s="293"/>
      <c r="K647" s="88"/>
      <c r="L647" s="88"/>
      <c r="M647" s="88"/>
      <c r="N647" s="294"/>
      <c r="O647" s="88"/>
      <c r="P647" s="88"/>
      <c r="Q647" s="88"/>
      <c r="R647" s="88"/>
      <c r="S647" s="88"/>
      <c r="T647" s="88"/>
      <c r="U647" s="88"/>
      <c r="V647" s="88"/>
      <c r="W647" s="88"/>
      <c r="X647" s="88"/>
      <c r="Y647" s="88"/>
      <c r="Z647" s="88"/>
      <c r="AA647" s="88"/>
      <c r="AB647" s="88"/>
      <c r="AC647" s="88"/>
      <c r="AD647" s="88"/>
      <c r="AE647" s="88"/>
      <c r="AF647" s="88"/>
      <c r="AG647" s="88"/>
      <c r="AH647" s="88"/>
    </row>
    <row r="648" spans="1:34" ht="69.75" customHeight="1" x14ac:dyDescent="0.25">
      <c r="A648" s="948"/>
      <c r="B648" s="694"/>
      <c r="C648" s="694"/>
      <c r="D648" s="295" t="s">
        <v>1148</v>
      </c>
      <c r="E648" s="291">
        <v>734844689</v>
      </c>
      <c r="F648" s="291">
        <v>310195333</v>
      </c>
      <c r="G648" s="292"/>
      <c r="H648" s="88"/>
      <c r="I648" s="88"/>
      <c r="J648" s="293"/>
      <c r="K648" s="88"/>
      <c r="L648" s="88"/>
      <c r="M648" s="88"/>
      <c r="N648" s="294"/>
      <c r="O648" s="88"/>
      <c r="P648" s="88"/>
      <c r="Q648" s="88"/>
      <c r="R648" s="88"/>
      <c r="S648" s="88"/>
      <c r="T648" s="88"/>
      <c r="U648" s="88"/>
      <c r="V648" s="88"/>
      <c r="W648" s="88"/>
      <c r="X648" s="88"/>
      <c r="Y648" s="88"/>
      <c r="Z648" s="88"/>
      <c r="AA648" s="88"/>
      <c r="AB648" s="88"/>
      <c r="AC648" s="88"/>
      <c r="AD648" s="88"/>
      <c r="AE648" s="88"/>
      <c r="AF648" s="88"/>
      <c r="AG648" s="88"/>
      <c r="AH648" s="88"/>
    </row>
    <row r="649" spans="1:34" ht="69.75" customHeight="1" x14ac:dyDescent="0.25">
      <c r="A649" s="948"/>
      <c r="B649" s="694"/>
      <c r="C649" s="694"/>
      <c r="D649" s="295" t="s">
        <v>1149</v>
      </c>
      <c r="E649" s="291">
        <v>333790000</v>
      </c>
      <c r="F649" s="291">
        <v>227025600</v>
      </c>
      <c r="G649" s="292"/>
      <c r="H649" s="88"/>
      <c r="I649" s="88"/>
      <c r="J649" s="293"/>
      <c r="K649" s="88"/>
      <c r="L649" s="88"/>
      <c r="M649" s="88"/>
      <c r="N649" s="294"/>
      <c r="O649" s="88"/>
      <c r="P649" s="88"/>
      <c r="Q649" s="88"/>
      <c r="R649" s="88"/>
      <c r="S649" s="88"/>
      <c r="T649" s="88"/>
      <c r="U649" s="88"/>
      <c r="V649" s="88"/>
      <c r="W649" s="88"/>
      <c r="X649" s="88"/>
      <c r="Y649" s="88"/>
      <c r="Z649" s="88"/>
      <c r="AA649" s="88"/>
      <c r="AB649" s="88"/>
      <c r="AC649" s="88"/>
      <c r="AD649" s="88"/>
      <c r="AE649" s="88"/>
      <c r="AF649" s="88"/>
      <c r="AG649" s="88"/>
      <c r="AH649" s="88"/>
    </row>
    <row r="650" spans="1:34" ht="69.75" customHeight="1" x14ac:dyDescent="0.25">
      <c r="A650" s="948"/>
      <c r="B650" s="733"/>
      <c r="C650" s="733"/>
      <c r="D650" s="295" t="s">
        <v>891</v>
      </c>
      <c r="E650" s="296">
        <v>443888000</v>
      </c>
      <c r="F650" s="296">
        <v>326159634</v>
      </c>
      <c r="G650" s="292"/>
      <c r="H650" s="88"/>
      <c r="I650" s="88"/>
      <c r="J650" s="293"/>
      <c r="K650" s="88"/>
      <c r="L650" s="88"/>
      <c r="M650" s="88"/>
      <c r="N650" s="294"/>
      <c r="O650" s="88"/>
      <c r="P650" s="88"/>
      <c r="Q650" s="88"/>
      <c r="R650" s="88"/>
      <c r="S650" s="88"/>
      <c r="T650" s="88"/>
      <c r="U650" s="88"/>
      <c r="V650" s="88"/>
      <c r="W650" s="88"/>
      <c r="X650" s="88"/>
      <c r="Y650" s="88"/>
      <c r="Z650" s="88"/>
      <c r="AA650" s="88"/>
      <c r="AB650" s="88"/>
      <c r="AC650" s="88"/>
      <c r="AD650" s="88"/>
      <c r="AE650" s="88"/>
      <c r="AF650" s="88"/>
      <c r="AG650" s="88"/>
      <c r="AH650" s="88"/>
    </row>
    <row r="651" spans="1:34" ht="69.75" customHeight="1" x14ac:dyDescent="0.25">
      <c r="A651" s="948"/>
      <c r="B651" s="30" t="s">
        <v>971</v>
      </c>
      <c r="C651" s="30" t="s">
        <v>972</v>
      </c>
      <c r="D651" s="295" t="s">
        <v>1150</v>
      </c>
      <c r="E651" s="291">
        <v>277709000</v>
      </c>
      <c r="F651" s="291">
        <v>169864101</v>
      </c>
      <c r="G651" s="292"/>
      <c r="H651" s="88"/>
      <c r="I651" s="88"/>
      <c r="J651" s="293"/>
      <c r="K651" s="88"/>
      <c r="L651" s="88"/>
      <c r="M651" s="88"/>
      <c r="N651" s="294"/>
      <c r="O651" s="88"/>
      <c r="P651" s="88"/>
      <c r="Q651" s="88"/>
      <c r="R651" s="88"/>
      <c r="S651" s="88"/>
      <c r="T651" s="88"/>
      <c r="U651" s="88"/>
      <c r="V651" s="88"/>
      <c r="W651" s="88"/>
      <c r="X651" s="88"/>
      <c r="Y651" s="88"/>
      <c r="Z651" s="88"/>
      <c r="AA651" s="88"/>
      <c r="AB651" s="88"/>
      <c r="AC651" s="88"/>
      <c r="AD651" s="88"/>
      <c r="AE651" s="88"/>
      <c r="AF651" s="88"/>
      <c r="AG651" s="88"/>
      <c r="AH651" s="88"/>
    </row>
    <row r="652" spans="1:34" ht="69.75" customHeight="1" x14ac:dyDescent="0.25">
      <c r="A652" s="953"/>
      <c r="B652" s="30" t="s">
        <v>975</v>
      </c>
      <c r="C652" s="30" t="s">
        <v>976</v>
      </c>
      <c r="D652" s="295" t="s">
        <v>381</v>
      </c>
      <c r="E652" s="291">
        <v>779641627</v>
      </c>
      <c r="F652" s="291">
        <v>520123927</v>
      </c>
      <c r="G652" s="292"/>
      <c r="H652" s="88"/>
      <c r="I652" s="88"/>
      <c r="J652" s="293"/>
      <c r="K652" s="88"/>
      <c r="L652" s="88"/>
      <c r="M652" s="88"/>
      <c r="N652" s="294"/>
      <c r="O652" s="88"/>
      <c r="P652" s="88"/>
      <c r="Q652" s="88"/>
      <c r="R652" s="88"/>
      <c r="S652" s="88"/>
      <c r="T652" s="88"/>
      <c r="U652" s="88"/>
      <c r="V652" s="88"/>
      <c r="W652" s="88"/>
      <c r="X652" s="88"/>
      <c r="Y652" s="88"/>
      <c r="Z652" s="88"/>
      <c r="AA652" s="88"/>
      <c r="AB652" s="88"/>
      <c r="AC652" s="88"/>
      <c r="AD652" s="88"/>
      <c r="AE652" s="88"/>
      <c r="AF652" s="88"/>
      <c r="AG652" s="88"/>
      <c r="AH652" s="88"/>
    </row>
    <row r="653" spans="1:34" ht="69.75" customHeight="1" x14ac:dyDescent="0.25">
      <c r="A653" s="952" t="s">
        <v>936</v>
      </c>
      <c r="B653" s="957" t="s">
        <v>963</v>
      </c>
      <c r="C653" s="957" t="s">
        <v>964</v>
      </c>
      <c r="D653" s="290" t="s">
        <v>344</v>
      </c>
      <c r="E653" s="291">
        <v>605339000</v>
      </c>
      <c r="F653" s="291">
        <v>430376767</v>
      </c>
      <c r="G653" s="292"/>
      <c r="H653" s="88"/>
      <c r="I653" s="88"/>
      <c r="J653" s="293"/>
      <c r="K653" s="88"/>
      <c r="L653" s="88"/>
      <c r="M653" s="88"/>
      <c r="N653" s="294"/>
      <c r="O653" s="88"/>
      <c r="P653" s="88"/>
      <c r="Q653" s="88"/>
      <c r="R653" s="88"/>
      <c r="S653" s="88"/>
      <c r="T653" s="88"/>
      <c r="U653" s="88"/>
      <c r="V653" s="88"/>
      <c r="W653" s="88"/>
      <c r="X653" s="88"/>
      <c r="Y653" s="88"/>
      <c r="Z653" s="88"/>
      <c r="AA653" s="88"/>
      <c r="AB653" s="88"/>
      <c r="AC653" s="88"/>
      <c r="AD653" s="88"/>
      <c r="AE653" s="88"/>
      <c r="AF653" s="88"/>
      <c r="AG653" s="88"/>
      <c r="AH653" s="88"/>
    </row>
    <row r="654" spans="1:34" ht="69.75" customHeight="1" x14ac:dyDescent="0.25">
      <c r="A654" s="948"/>
      <c r="B654" s="694"/>
      <c r="C654" s="694"/>
      <c r="D654" s="290" t="s">
        <v>355</v>
      </c>
      <c r="E654" s="291">
        <v>172920000</v>
      </c>
      <c r="F654" s="291">
        <v>143091300</v>
      </c>
      <c r="G654" s="292"/>
      <c r="H654" s="88"/>
      <c r="I654" s="88"/>
      <c r="J654" s="293"/>
      <c r="K654" s="88"/>
      <c r="L654" s="88"/>
      <c r="M654" s="88"/>
      <c r="N654" s="294"/>
      <c r="O654" s="88"/>
      <c r="P654" s="88"/>
      <c r="Q654" s="88"/>
      <c r="R654" s="88"/>
      <c r="S654" s="88"/>
      <c r="T654" s="88"/>
      <c r="U654" s="88"/>
      <c r="V654" s="88"/>
      <c r="W654" s="88"/>
      <c r="X654" s="88"/>
      <c r="Y654" s="88"/>
      <c r="Z654" s="88"/>
      <c r="AA654" s="88"/>
      <c r="AB654" s="88"/>
      <c r="AC654" s="88"/>
      <c r="AD654" s="88"/>
      <c r="AE654" s="88"/>
      <c r="AF654" s="88"/>
      <c r="AG654" s="88"/>
      <c r="AH654" s="88"/>
    </row>
    <row r="655" spans="1:34" ht="69.75" customHeight="1" x14ac:dyDescent="0.25">
      <c r="A655" s="948"/>
      <c r="B655" s="733"/>
      <c r="C655" s="733"/>
      <c r="D655" s="290" t="s">
        <v>358</v>
      </c>
      <c r="E655" s="291">
        <v>29920000</v>
      </c>
      <c r="F655" s="291">
        <v>23845333</v>
      </c>
      <c r="G655" s="292"/>
      <c r="H655" s="88"/>
      <c r="I655" s="88"/>
      <c r="J655" s="293"/>
      <c r="K655" s="88"/>
      <c r="L655" s="88"/>
      <c r="M655" s="88"/>
      <c r="N655" s="294"/>
      <c r="O655" s="88"/>
      <c r="P655" s="88"/>
      <c r="Q655" s="88"/>
      <c r="R655" s="88"/>
      <c r="S655" s="88"/>
      <c r="T655" s="88"/>
      <c r="U655" s="88"/>
      <c r="V655" s="88"/>
      <c r="W655" s="88"/>
      <c r="X655" s="88"/>
      <c r="Y655" s="88"/>
      <c r="Z655" s="88"/>
      <c r="AA655" s="88"/>
      <c r="AB655" s="88"/>
      <c r="AC655" s="88"/>
      <c r="AD655" s="88"/>
      <c r="AE655" s="88"/>
      <c r="AF655" s="88"/>
      <c r="AG655" s="88"/>
      <c r="AH655" s="88"/>
    </row>
    <row r="656" spans="1:34" ht="69.75" customHeight="1" x14ac:dyDescent="0.25">
      <c r="A656" s="948"/>
      <c r="B656" s="965" t="s">
        <v>967</v>
      </c>
      <c r="C656" s="965" t="s">
        <v>968</v>
      </c>
      <c r="D656" s="295" t="s">
        <v>362</v>
      </c>
      <c r="E656" s="291">
        <v>76788500</v>
      </c>
      <c r="F656" s="291">
        <v>60622500</v>
      </c>
      <c r="G656" s="292"/>
      <c r="H656" s="88"/>
      <c r="I656" s="88"/>
      <c r="J656" s="293"/>
      <c r="K656" s="88"/>
      <c r="L656" s="88"/>
      <c r="M656" s="88"/>
      <c r="N656" s="294"/>
      <c r="O656" s="88"/>
      <c r="P656" s="88"/>
      <c r="Q656" s="88"/>
      <c r="R656" s="88"/>
      <c r="S656" s="88"/>
      <c r="T656" s="88"/>
      <c r="U656" s="88"/>
      <c r="V656" s="88"/>
      <c r="W656" s="88"/>
      <c r="X656" s="88"/>
      <c r="Y656" s="88"/>
      <c r="Z656" s="88"/>
      <c r="AA656" s="88"/>
      <c r="AB656" s="88"/>
      <c r="AC656" s="88"/>
      <c r="AD656" s="88"/>
      <c r="AE656" s="88"/>
      <c r="AF656" s="88"/>
      <c r="AG656" s="88"/>
      <c r="AH656" s="88"/>
    </row>
    <row r="657" spans="1:34" ht="69.75" customHeight="1" x14ac:dyDescent="0.25">
      <c r="A657" s="948"/>
      <c r="B657" s="694"/>
      <c r="C657" s="694"/>
      <c r="D657" s="295" t="s">
        <v>1148</v>
      </c>
      <c r="E657" s="291">
        <v>709813189</v>
      </c>
      <c r="F657" s="291">
        <v>420167333</v>
      </c>
      <c r="G657" s="292"/>
      <c r="H657" s="88"/>
      <c r="I657" s="88"/>
      <c r="J657" s="293"/>
      <c r="K657" s="88"/>
      <c r="L657" s="88"/>
      <c r="M657" s="88"/>
      <c r="N657" s="294"/>
      <c r="O657" s="88"/>
      <c r="P657" s="88"/>
      <c r="Q657" s="88"/>
      <c r="R657" s="88"/>
      <c r="S657" s="88"/>
      <c r="T657" s="88"/>
      <c r="U657" s="88"/>
      <c r="V657" s="88"/>
      <c r="W657" s="88"/>
      <c r="X657" s="88"/>
      <c r="Y657" s="88"/>
      <c r="Z657" s="88"/>
      <c r="AA657" s="88"/>
      <c r="AB657" s="88"/>
      <c r="AC657" s="88"/>
      <c r="AD657" s="88"/>
      <c r="AE657" s="88"/>
      <c r="AF657" s="88"/>
      <c r="AG657" s="88"/>
      <c r="AH657" s="88"/>
    </row>
    <row r="658" spans="1:34" ht="69.75" customHeight="1" x14ac:dyDescent="0.25">
      <c r="A658" s="948"/>
      <c r="B658" s="694"/>
      <c r="C658" s="694"/>
      <c r="D658" s="295" t="s">
        <v>1149</v>
      </c>
      <c r="E658" s="291">
        <v>333790000</v>
      </c>
      <c r="F658" s="291">
        <v>269177000</v>
      </c>
      <c r="G658" s="292"/>
      <c r="H658" s="88"/>
      <c r="I658" s="88"/>
      <c r="J658" s="293"/>
      <c r="K658" s="88"/>
      <c r="L658" s="88"/>
      <c r="M658" s="88"/>
      <c r="N658" s="294"/>
      <c r="O658" s="88"/>
      <c r="P658" s="88"/>
      <c r="Q658" s="88"/>
      <c r="R658" s="88"/>
      <c r="S658" s="88"/>
      <c r="T658" s="88"/>
      <c r="U658" s="88"/>
      <c r="V658" s="88"/>
      <c r="W658" s="88"/>
      <c r="X658" s="88"/>
      <c r="Y658" s="88"/>
      <c r="Z658" s="88"/>
      <c r="AA658" s="88"/>
      <c r="AB658" s="88"/>
      <c r="AC658" s="88"/>
      <c r="AD658" s="88"/>
      <c r="AE658" s="88"/>
      <c r="AF658" s="88"/>
      <c r="AG658" s="88"/>
      <c r="AH658" s="88"/>
    </row>
    <row r="659" spans="1:34" ht="69.75" customHeight="1" x14ac:dyDescent="0.25">
      <c r="A659" s="948"/>
      <c r="B659" s="733"/>
      <c r="C659" s="733"/>
      <c r="D659" s="295" t="s">
        <v>891</v>
      </c>
      <c r="E659" s="296">
        <v>447929500</v>
      </c>
      <c r="F659" s="296">
        <v>372653634</v>
      </c>
      <c r="G659" s="292"/>
      <c r="H659" s="88"/>
      <c r="I659" s="88"/>
      <c r="J659" s="293"/>
      <c r="K659" s="88"/>
      <c r="L659" s="88"/>
      <c r="M659" s="88"/>
      <c r="N659" s="294"/>
      <c r="O659" s="88"/>
      <c r="P659" s="88"/>
      <c r="Q659" s="88"/>
      <c r="R659" s="88"/>
      <c r="S659" s="88"/>
      <c r="T659" s="88"/>
      <c r="U659" s="88"/>
      <c r="V659" s="88"/>
      <c r="W659" s="88"/>
      <c r="X659" s="88"/>
      <c r="Y659" s="88"/>
      <c r="Z659" s="88"/>
      <c r="AA659" s="88"/>
      <c r="AB659" s="88"/>
      <c r="AC659" s="88"/>
      <c r="AD659" s="88"/>
      <c r="AE659" s="88"/>
      <c r="AF659" s="88"/>
      <c r="AG659" s="88"/>
      <c r="AH659" s="88"/>
    </row>
    <row r="660" spans="1:34" ht="69.75" customHeight="1" x14ac:dyDescent="0.25">
      <c r="A660" s="948"/>
      <c r="B660" s="30" t="s">
        <v>971</v>
      </c>
      <c r="C660" s="30" t="s">
        <v>972</v>
      </c>
      <c r="D660" s="295" t="s">
        <v>1150</v>
      </c>
      <c r="E660" s="291">
        <v>277709000</v>
      </c>
      <c r="F660" s="291">
        <v>204568101</v>
      </c>
      <c r="G660" s="292"/>
      <c r="H660" s="88"/>
      <c r="I660" s="88"/>
      <c r="J660" s="293"/>
      <c r="K660" s="88"/>
      <c r="L660" s="88"/>
      <c r="M660" s="88"/>
      <c r="N660" s="294"/>
      <c r="O660" s="88"/>
      <c r="P660" s="88"/>
      <c r="Q660" s="88"/>
      <c r="R660" s="88"/>
      <c r="S660" s="88"/>
      <c r="T660" s="88"/>
      <c r="U660" s="88"/>
      <c r="V660" s="88"/>
      <c r="W660" s="88"/>
      <c r="X660" s="88"/>
      <c r="Y660" s="88"/>
      <c r="Z660" s="88"/>
      <c r="AA660" s="88"/>
      <c r="AB660" s="88"/>
      <c r="AC660" s="88"/>
      <c r="AD660" s="88"/>
      <c r="AE660" s="88"/>
      <c r="AF660" s="88"/>
      <c r="AG660" s="88"/>
      <c r="AH660" s="88"/>
    </row>
    <row r="661" spans="1:34" ht="69.75" customHeight="1" x14ac:dyDescent="0.25">
      <c r="A661" s="953"/>
      <c r="B661" s="30" t="s">
        <v>975</v>
      </c>
      <c r="C661" s="30" t="s">
        <v>976</v>
      </c>
      <c r="D661" s="295" t="s">
        <v>381</v>
      </c>
      <c r="E661" s="291">
        <v>800631627</v>
      </c>
      <c r="F661" s="291">
        <v>589355555</v>
      </c>
      <c r="G661" s="292"/>
      <c r="H661" s="88"/>
      <c r="I661" s="88"/>
      <c r="J661" s="293"/>
      <c r="K661" s="88"/>
      <c r="L661" s="88"/>
      <c r="M661" s="88"/>
      <c r="N661" s="294"/>
      <c r="O661" s="88"/>
      <c r="P661" s="88"/>
      <c r="Q661" s="88"/>
      <c r="R661" s="88"/>
      <c r="S661" s="88"/>
      <c r="T661" s="88"/>
      <c r="U661" s="88"/>
      <c r="V661" s="88"/>
      <c r="W661" s="88"/>
      <c r="X661" s="88"/>
      <c r="Y661" s="88"/>
      <c r="Z661" s="88"/>
      <c r="AA661" s="88"/>
      <c r="AB661" s="88"/>
      <c r="AC661" s="88"/>
      <c r="AD661" s="88"/>
      <c r="AE661" s="88"/>
      <c r="AF661" s="88"/>
      <c r="AG661" s="88"/>
      <c r="AH661" s="88"/>
    </row>
    <row r="662" spans="1:34" ht="69.75" customHeight="1" x14ac:dyDescent="0.25">
      <c r="A662" s="952" t="s">
        <v>939</v>
      </c>
      <c r="B662" s="957" t="s">
        <v>963</v>
      </c>
      <c r="C662" s="957" t="s">
        <v>964</v>
      </c>
      <c r="D662" s="290" t="s">
        <v>344</v>
      </c>
      <c r="E662" s="291">
        <v>971277000</v>
      </c>
      <c r="F662" s="291">
        <v>0</v>
      </c>
      <c r="G662" s="292"/>
      <c r="H662" s="88"/>
      <c r="I662" s="88"/>
      <c r="J662" s="293"/>
      <c r="K662" s="88"/>
      <c r="L662" s="88"/>
      <c r="M662" s="88"/>
      <c r="N662" s="294"/>
      <c r="O662" s="88"/>
      <c r="P662" s="88"/>
      <c r="Q662" s="88"/>
      <c r="R662" s="88"/>
      <c r="S662" s="88"/>
      <c r="T662" s="88"/>
      <c r="U662" s="88"/>
      <c r="V662" s="88"/>
      <c r="W662" s="88"/>
      <c r="X662" s="88"/>
      <c r="Y662" s="88"/>
      <c r="Z662" s="88"/>
      <c r="AA662" s="88"/>
      <c r="AB662" s="88"/>
      <c r="AC662" s="88"/>
      <c r="AD662" s="88"/>
      <c r="AE662" s="88"/>
      <c r="AF662" s="88"/>
      <c r="AG662" s="88"/>
      <c r="AH662" s="88"/>
    </row>
    <row r="663" spans="1:34" ht="69.75" customHeight="1" x14ac:dyDescent="0.25">
      <c r="A663" s="948"/>
      <c r="B663" s="694"/>
      <c r="C663" s="694"/>
      <c r="D663" s="290" t="s">
        <v>355</v>
      </c>
      <c r="E663" s="291">
        <v>132270000</v>
      </c>
      <c r="F663" s="291">
        <v>0</v>
      </c>
      <c r="G663" s="292"/>
      <c r="H663" s="88"/>
      <c r="I663" s="88"/>
      <c r="J663" s="293"/>
      <c r="K663" s="88"/>
      <c r="L663" s="88"/>
      <c r="M663" s="88"/>
      <c r="N663" s="294"/>
      <c r="O663" s="88"/>
      <c r="P663" s="88"/>
      <c r="Q663" s="88"/>
      <c r="R663" s="88"/>
      <c r="S663" s="88"/>
      <c r="T663" s="88"/>
      <c r="U663" s="88"/>
      <c r="V663" s="88"/>
      <c r="W663" s="88"/>
      <c r="X663" s="88"/>
      <c r="Y663" s="88"/>
      <c r="Z663" s="88"/>
      <c r="AA663" s="88"/>
      <c r="AB663" s="88"/>
      <c r="AC663" s="88"/>
      <c r="AD663" s="88"/>
      <c r="AE663" s="88"/>
      <c r="AF663" s="88"/>
      <c r="AG663" s="88"/>
      <c r="AH663" s="88"/>
    </row>
    <row r="664" spans="1:34" ht="69.75" customHeight="1" x14ac:dyDescent="0.25">
      <c r="A664" s="948"/>
      <c r="B664" s="733"/>
      <c r="C664" s="733"/>
      <c r="D664" s="290" t="s">
        <v>358</v>
      </c>
      <c r="E664" s="291">
        <v>30100000</v>
      </c>
      <c r="F664" s="291">
        <v>0</v>
      </c>
      <c r="G664" s="292"/>
      <c r="H664" s="88"/>
      <c r="I664" s="88"/>
      <c r="J664" s="293"/>
      <c r="K664" s="88"/>
      <c r="L664" s="88"/>
      <c r="M664" s="88"/>
      <c r="N664" s="294"/>
      <c r="O664" s="88"/>
      <c r="P664" s="88"/>
      <c r="Q664" s="88"/>
      <c r="R664" s="88"/>
      <c r="S664" s="88"/>
      <c r="T664" s="88"/>
      <c r="U664" s="88"/>
      <c r="V664" s="88"/>
      <c r="W664" s="88"/>
      <c r="X664" s="88"/>
      <c r="Y664" s="88"/>
      <c r="Z664" s="88"/>
      <c r="AA664" s="88"/>
      <c r="AB664" s="88"/>
      <c r="AC664" s="88"/>
      <c r="AD664" s="88"/>
      <c r="AE664" s="88"/>
      <c r="AF664" s="88"/>
      <c r="AG664" s="88"/>
      <c r="AH664" s="88"/>
    </row>
    <row r="665" spans="1:34" ht="69.75" customHeight="1" x14ac:dyDescent="0.25">
      <c r="A665" s="948"/>
      <c r="B665" s="965" t="s">
        <v>967</v>
      </c>
      <c r="C665" s="965" t="s">
        <v>968</v>
      </c>
      <c r="D665" s="295" t="s">
        <v>362</v>
      </c>
      <c r="E665" s="291">
        <v>70434000</v>
      </c>
      <c r="F665" s="291">
        <v>0</v>
      </c>
      <c r="G665" s="292"/>
      <c r="H665" s="88"/>
      <c r="I665" s="88"/>
      <c r="J665" s="293"/>
      <c r="K665" s="88"/>
      <c r="L665" s="88"/>
      <c r="M665" s="88"/>
      <c r="N665" s="294"/>
      <c r="O665" s="88"/>
      <c r="P665" s="88"/>
      <c r="Q665" s="88"/>
      <c r="R665" s="88"/>
      <c r="S665" s="88"/>
      <c r="T665" s="88"/>
      <c r="U665" s="88"/>
      <c r="V665" s="88"/>
      <c r="W665" s="88"/>
      <c r="X665" s="88"/>
      <c r="Y665" s="88"/>
      <c r="Z665" s="88"/>
      <c r="AA665" s="88"/>
      <c r="AB665" s="88"/>
      <c r="AC665" s="88"/>
      <c r="AD665" s="88"/>
      <c r="AE665" s="88"/>
      <c r="AF665" s="88"/>
      <c r="AG665" s="88"/>
      <c r="AH665" s="88"/>
    </row>
    <row r="666" spans="1:34" ht="69.75" customHeight="1" x14ac:dyDescent="0.25">
      <c r="A666" s="948"/>
      <c r="B666" s="694"/>
      <c r="C666" s="694"/>
      <c r="D666" s="295" t="s">
        <v>1148</v>
      </c>
      <c r="E666" s="291">
        <v>672748000</v>
      </c>
      <c r="F666" s="291">
        <v>0</v>
      </c>
      <c r="G666" s="292"/>
      <c r="H666" s="88"/>
      <c r="I666" s="88"/>
      <c r="J666" s="293"/>
      <c r="K666" s="88"/>
      <c r="L666" s="88"/>
      <c r="M666" s="88"/>
      <c r="N666" s="294"/>
      <c r="O666" s="88"/>
      <c r="P666" s="88"/>
      <c r="Q666" s="88"/>
      <c r="R666" s="88"/>
      <c r="S666" s="88"/>
      <c r="T666" s="88"/>
      <c r="U666" s="88"/>
      <c r="V666" s="88"/>
      <c r="W666" s="88"/>
      <c r="X666" s="88"/>
      <c r="Y666" s="88"/>
      <c r="Z666" s="88"/>
      <c r="AA666" s="88"/>
      <c r="AB666" s="88"/>
      <c r="AC666" s="88"/>
      <c r="AD666" s="88"/>
      <c r="AE666" s="88"/>
      <c r="AF666" s="88"/>
      <c r="AG666" s="88"/>
      <c r="AH666" s="88"/>
    </row>
    <row r="667" spans="1:34" ht="69.75" customHeight="1" x14ac:dyDescent="0.25">
      <c r="A667" s="948"/>
      <c r="B667" s="694"/>
      <c r="C667" s="694"/>
      <c r="D667" s="295" t="s">
        <v>1149</v>
      </c>
      <c r="E667" s="291">
        <v>309585000</v>
      </c>
      <c r="F667" s="291">
        <v>0</v>
      </c>
      <c r="G667" s="292"/>
      <c r="H667" s="88"/>
      <c r="I667" s="88"/>
      <c r="J667" s="293"/>
      <c r="K667" s="88"/>
      <c r="L667" s="88"/>
      <c r="M667" s="88"/>
      <c r="N667" s="294"/>
      <c r="O667" s="88"/>
      <c r="P667" s="88"/>
      <c r="Q667" s="88"/>
      <c r="R667" s="88"/>
      <c r="S667" s="88"/>
      <c r="T667" s="88"/>
      <c r="U667" s="88"/>
      <c r="V667" s="88"/>
      <c r="W667" s="88"/>
      <c r="X667" s="88"/>
      <c r="Y667" s="88"/>
      <c r="Z667" s="88"/>
      <c r="AA667" s="88"/>
      <c r="AB667" s="88"/>
      <c r="AC667" s="88"/>
      <c r="AD667" s="88"/>
      <c r="AE667" s="88"/>
      <c r="AF667" s="88"/>
      <c r="AG667" s="88"/>
      <c r="AH667" s="88"/>
    </row>
    <row r="668" spans="1:34" ht="69.75" customHeight="1" x14ac:dyDescent="0.25">
      <c r="A668" s="948"/>
      <c r="B668" s="733"/>
      <c r="C668" s="733"/>
      <c r="D668" s="295" t="s">
        <v>891</v>
      </c>
      <c r="E668" s="296">
        <v>436082000</v>
      </c>
      <c r="F668" s="291">
        <v>0</v>
      </c>
      <c r="G668" s="292"/>
      <c r="H668" s="88"/>
      <c r="I668" s="88"/>
      <c r="J668" s="293"/>
      <c r="K668" s="88"/>
      <c r="L668" s="88"/>
      <c r="M668" s="88"/>
      <c r="N668" s="294"/>
      <c r="O668" s="88"/>
      <c r="P668" s="88"/>
      <c r="Q668" s="88"/>
      <c r="R668" s="88"/>
      <c r="S668" s="88"/>
      <c r="T668" s="88"/>
      <c r="U668" s="88"/>
      <c r="V668" s="88"/>
      <c r="W668" s="88"/>
      <c r="X668" s="88"/>
      <c r="Y668" s="88"/>
      <c r="Z668" s="88"/>
      <c r="AA668" s="88"/>
      <c r="AB668" s="88"/>
      <c r="AC668" s="88"/>
      <c r="AD668" s="88"/>
      <c r="AE668" s="88"/>
      <c r="AF668" s="88"/>
      <c r="AG668" s="88"/>
      <c r="AH668" s="88"/>
    </row>
    <row r="669" spans="1:34" ht="69.75" customHeight="1" x14ac:dyDescent="0.25">
      <c r="A669" s="948"/>
      <c r="B669" s="30" t="s">
        <v>971</v>
      </c>
      <c r="C669" s="30" t="s">
        <v>972</v>
      </c>
      <c r="D669" s="295" t="s">
        <v>1150</v>
      </c>
      <c r="E669" s="291">
        <v>289724000</v>
      </c>
      <c r="F669" s="291">
        <v>0</v>
      </c>
      <c r="G669" s="292"/>
      <c r="H669" s="88"/>
      <c r="I669" s="88"/>
      <c r="J669" s="293"/>
      <c r="K669" s="88"/>
      <c r="L669" s="88"/>
      <c r="M669" s="88"/>
      <c r="N669" s="294"/>
      <c r="O669" s="88"/>
      <c r="P669" s="88"/>
      <c r="Q669" s="88"/>
      <c r="R669" s="88"/>
      <c r="S669" s="88"/>
      <c r="T669" s="88"/>
      <c r="U669" s="88"/>
      <c r="V669" s="88"/>
      <c r="W669" s="88"/>
      <c r="X669" s="88"/>
      <c r="Y669" s="88"/>
      <c r="Z669" s="88"/>
      <c r="AA669" s="88"/>
      <c r="AB669" s="88"/>
      <c r="AC669" s="88"/>
      <c r="AD669" s="88"/>
      <c r="AE669" s="88"/>
      <c r="AF669" s="88"/>
      <c r="AG669" s="88"/>
      <c r="AH669" s="88"/>
    </row>
    <row r="670" spans="1:34" ht="69.75" customHeight="1" x14ac:dyDescent="0.25">
      <c r="A670" s="953"/>
      <c r="B670" s="30" t="s">
        <v>975</v>
      </c>
      <c r="C670" s="30" t="s">
        <v>976</v>
      </c>
      <c r="D670" s="295" t="s">
        <v>381</v>
      </c>
      <c r="E670" s="291">
        <v>783556000</v>
      </c>
      <c r="F670" s="291">
        <v>0</v>
      </c>
      <c r="G670" s="292"/>
      <c r="H670" s="88"/>
      <c r="I670" s="88"/>
      <c r="J670" s="293"/>
      <c r="K670" s="88"/>
      <c r="L670" s="88"/>
      <c r="M670" s="88"/>
      <c r="N670" s="294"/>
      <c r="O670" s="88"/>
      <c r="P670" s="88"/>
      <c r="Q670" s="88"/>
      <c r="R670" s="88"/>
      <c r="S670" s="88"/>
      <c r="T670" s="88"/>
      <c r="U670" s="88"/>
      <c r="V670" s="88"/>
      <c r="W670" s="88"/>
      <c r="X670" s="88"/>
      <c r="Y670" s="88"/>
      <c r="Z670" s="88"/>
      <c r="AA670" s="88"/>
      <c r="AB670" s="88"/>
      <c r="AC670" s="88"/>
      <c r="AD670" s="88"/>
      <c r="AE670" s="88"/>
      <c r="AF670" s="88"/>
      <c r="AG670" s="88"/>
      <c r="AH670" s="88"/>
    </row>
    <row r="671" spans="1:34" ht="69.75" customHeight="1" x14ac:dyDescent="0.25">
      <c r="A671" s="952" t="s">
        <v>940</v>
      </c>
      <c r="B671" s="957" t="s">
        <v>963</v>
      </c>
      <c r="C671" s="957" t="s">
        <v>964</v>
      </c>
      <c r="D671" s="290" t="s">
        <v>344</v>
      </c>
      <c r="E671" s="291">
        <v>971277000</v>
      </c>
      <c r="F671" s="291">
        <v>5150933</v>
      </c>
      <c r="G671" s="292"/>
      <c r="H671" s="88"/>
      <c r="I671" s="88"/>
      <c r="J671" s="293"/>
      <c r="K671" s="88"/>
      <c r="L671" s="88"/>
      <c r="M671" s="88"/>
      <c r="N671" s="294"/>
      <c r="O671" s="88"/>
      <c r="P671" s="88"/>
      <c r="Q671" s="88"/>
      <c r="R671" s="88"/>
      <c r="S671" s="88"/>
      <c r="T671" s="88"/>
      <c r="U671" s="88"/>
      <c r="V671" s="88"/>
      <c r="W671" s="88"/>
      <c r="X671" s="88"/>
      <c r="Y671" s="88"/>
      <c r="Z671" s="88"/>
      <c r="AA671" s="88"/>
      <c r="AB671" s="88"/>
      <c r="AC671" s="88"/>
      <c r="AD671" s="88"/>
      <c r="AE671" s="88"/>
      <c r="AF671" s="88"/>
      <c r="AG671" s="88"/>
      <c r="AH671" s="88"/>
    </row>
    <row r="672" spans="1:34" ht="69.75" customHeight="1" x14ac:dyDescent="0.25">
      <c r="A672" s="948"/>
      <c r="B672" s="694"/>
      <c r="C672" s="694"/>
      <c r="D672" s="290" t="s">
        <v>355</v>
      </c>
      <c r="E672" s="291">
        <v>132270000</v>
      </c>
      <c r="F672" s="291">
        <v>2792367</v>
      </c>
      <c r="G672" s="292"/>
      <c r="H672" s="88"/>
      <c r="I672" s="88"/>
      <c r="J672" s="293"/>
      <c r="K672" s="88"/>
      <c r="L672" s="88"/>
      <c r="M672" s="88"/>
      <c r="N672" s="294"/>
      <c r="O672" s="88"/>
      <c r="P672" s="88"/>
      <c r="Q672" s="88"/>
      <c r="R672" s="88"/>
      <c r="S672" s="88"/>
      <c r="T672" s="88"/>
      <c r="U672" s="88"/>
      <c r="V672" s="88"/>
      <c r="W672" s="88"/>
      <c r="X672" s="88"/>
      <c r="Y672" s="88"/>
      <c r="Z672" s="88"/>
      <c r="AA672" s="88"/>
      <c r="AB672" s="88"/>
      <c r="AC672" s="88"/>
      <c r="AD672" s="88"/>
      <c r="AE672" s="88"/>
      <c r="AF672" s="88"/>
      <c r="AG672" s="88"/>
      <c r="AH672" s="88"/>
    </row>
    <row r="673" spans="1:34" ht="69.75" customHeight="1" x14ac:dyDescent="0.25">
      <c r="A673" s="948"/>
      <c r="B673" s="733"/>
      <c r="C673" s="733"/>
      <c r="D673" s="290" t="s">
        <v>358</v>
      </c>
      <c r="E673" s="291">
        <v>30100000</v>
      </c>
      <c r="F673" s="291">
        <v>0</v>
      </c>
      <c r="G673" s="292"/>
      <c r="H673" s="88"/>
      <c r="I673" s="88"/>
      <c r="J673" s="293"/>
      <c r="K673" s="88"/>
      <c r="L673" s="88"/>
      <c r="M673" s="88"/>
      <c r="N673" s="294"/>
      <c r="O673" s="88"/>
      <c r="P673" s="88"/>
      <c r="Q673" s="88"/>
      <c r="R673" s="88"/>
      <c r="S673" s="88"/>
      <c r="T673" s="88"/>
      <c r="U673" s="88"/>
      <c r="V673" s="88"/>
      <c r="W673" s="88"/>
      <c r="X673" s="88"/>
      <c r="Y673" s="88"/>
      <c r="Z673" s="88"/>
      <c r="AA673" s="88"/>
      <c r="AB673" s="88"/>
      <c r="AC673" s="88"/>
      <c r="AD673" s="88"/>
      <c r="AE673" s="88"/>
      <c r="AF673" s="88"/>
      <c r="AG673" s="88"/>
      <c r="AH673" s="88"/>
    </row>
    <row r="674" spans="1:34" ht="69.75" customHeight="1" x14ac:dyDescent="0.25">
      <c r="A674" s="948"/>
      <c r="B674" s="965" t="s">
        <v>967</v>
      </c>
      <c r="C674" s="965" t="s">
        <v>968</v>
      </c>
      <c r="D674" s="295" t="s">
        <v>362</v>
      </c>
      <c r="E674" s="291">
        <v>70434000</v>
      </c>
      <c r="F674" s="291">
        <v>2478233</v>
      </c>
      <c r="G674" s="292"/>
      <c r="H674" s="88"/>
      <c r="I674" s="88"/>
      <c r="J674" s="293"/>
      <c r="K674" s="88"/>
      <c r="L674" s="88"/>
      <c r="M674" s="88"/>
      <c r="N674" s="294"/>
      <c r="O674" s="88"/>
      <c r="P674" s="88"/>
      <c r="Q674" s="88"/>
      <c r="R674" s="88"/>
      <c r="S674" s="88"/>
      <c r="T674" s="88"/>
      <c r="U674" s="88"/>
      <c r="V674" s="88"/>
      <c r="W674" s="88"/>
      <c r="X674" s="88"/>
      <c r="Y674" s="88"/>
      <c r="Z674" s="88"/>
      <c r="AA674" s="88"/>
      <c r="AB674" s="88"/>
      <c r="AC674" s="88"/>
      <c r="AD674" s="88"/>
      <c r="AE674" s="88"/>
      <c r="AF674" s="88"/>
      <c r="AG674" s="88"/>
      <c r="AH674" s="88"/>
    </row>
    <row r="675" spans="1:34" ht="69.75" customHeight="1" x14ac:dyDescent="0.25">
      <c r="A675" s="948"/>
      <c r="B675" s="694"/>
      <c r="C675" s="694"/>
      <c r="D675" s="295" t="s">
        <v>1148</v>
      </c>
      <c r="E675" s="291">
        <v>672748000</v>
      </c>
      <c r="F675" s="291">
        <v>7337300</v>
      </c>
      <c r="G675" s="292"/>
      <c r="H675" s="88"/>
      <c r="I675" s="88"/>
      <c r="J675" s="293"/>
      <c r="K675" s="88"/>
      <c r="L675" s="88"/>
      <c r="M675" s="88"/>
      <c r="N675" s="294"/>
      <c r="O675" s="88"/>
      <c r="P675" s="88"/>
      <c r="Q675" s="88"/>
      <c r="R675" s="88"/>
      <c r="S675" s="88"/>
      <c r="T675" s="88"/>
      <c r="U675" s="88"/>
      <c r="V675" s="88"/>
      <c r="W675" s="88"/>
      <c r="X675" s="88"/>
      <c r="Y675" s="88"/>
      <c r="Z675" s="88"/>
      <c r="AA675" s="88"/>
      <c r="AB675" s="88"/>
      <c r="AC675" s="88"/>
      <c r="AD675" s="88"/>
      <c r="AE675" s="88"/>
      <c r="AF675" s="88"/>
      <c r="AG675" s="88"/>
      <c r="AH675" s="88"/>
    </row>
    <row r="676" spans="1:34" ht="69.75" customHeight="1" x14ac:dyDescent="0.25">
      <c r="A676" s="948"/>
      <c r="B676" s="694"/>
      <c r="C676" s="694"/>
      <c r="D676" s="295" t="s">
        <v>1149</v>
      </c>
      <c r="E676" s="291">
        <v>309585000</v>
      </c>
      <c r="F676" s="291">
        <v>818300</v>
      </c>
      <c r="G676" s="292"/>
      <c r="H676" s="88"/>
      <c r="I676" s="88"/>
      <c r="J676" s="293"/>
      <c r="K676" s="88"/>
      <c r="L676" s="88"/>
      <c r="M676" s="88"/>
      <c r="N676" s="294"/>
      <c r="O676" s="88"/>
      <c r="P676" s="88"/>
      <c r="Q676" s="88"/>
      <c r="R676" s="88"/>
      <c r="S676" s="88"/>
      <c r="T676" s="88"/>
      <c r="U676" s="88"/>
      <c r="V676" s="88"/>
      <c r="W676" s="88"/>
      <c r="X676" s="88"/>
      <c r="Y676" s="88"/>
      <c r="Z676" s="88"/>
      <c r="AA676" s="88"/>
      <c r="AB676" s="88"/>
      <c r="AC676" s="88"/>
      <c r="AD676" s="88"/>
      <c r="AE676" s="88"/>
      <c r="AF676" s="88"/>
      <c r="AG676" s="88"/>
      <c r="AH676" s="88"/>
    </row>
    <row r="677" spans="1:34" ht="69.75" customHeight="1" x14ac:dyDescent="0.25">
      <c r="A677" s="948"/>
      <c r="B677" s="733"/>
      <c r="C677" s="733"/>
      <c r="D677" s="295" t="s">
        <v>891</v>
      </c>
      <c r="E677" s="296">
        <v>436082000</v>
      </c>
      <c r="F677" s="291">
        <v>1169000</v>
      </c>
      <c r="G677" s="292"/>
      <c r="H677" s="88"/>
      <c r="I677" s="88"/>
      <c r="J677" s="293"/>
      <c r="K677" s="88"/>
      <c r="L677" s="88"/>
      <c r="M677" s="88"/>
      <c r="N677" s="294"/>
      <c r="O677" s="88"/>
      <c r="P677" s="88"/>
      <c r="Q677" s="88"/>
      <c r="R677" s="88"/>
      <c r="S677" s="88"/>
      <c r="T677" s="88"/>
      <c r="U677" s="88"/>
      <c r="V677" s="88"/>
      <c r="W677" s="88"/>
      <c r="X677" s="88"/>
      <c r="Y677" s="88"/>
      <c r="Z677" s="88"/>
      <c r="AA677" s="88"/>
      <c r="AB677" s="88"/>
      <c r="AC677" s="88"/>
      <c r="AD677" s="88"/>
      <c r="AE677" s="88"/>
      <c r="AF677" s="88"/>
      <c r="AG677" s="88"/>
      <c r="AH677" s="88"/>
    </row>
    <row r="678" spans="1:34" ht="69.75" customHeight="1" x14ac:dyDescent="0.25">
      <c r="A678" s="948"/>
      <c r="B678" s="30" t="s">
        <v>971</v>
      </c>
      <c r="C678" s="30" t="s">
        <v>972</v>
      </c>
      <c r="D678" s="295" t="s">
        <v>1150</v>
      </c>
      <c r="E678" s="291">
        <v>289724000</v>
      </c>
      <c r="F678" s="291">
        <v>1520633</v>
      </c>
      <c r="G678" s="292"/>
      <c r="H678" s="88"/>
      <c r="I678" s="88"/>
      <c r="J678" s="293"/>
      <c r="K678" s="88"/>
      <c r="L678" s="88"/>
      <c r="M678" s="88"/>
      <c r="N678" s="294"/>
      <c r="O678" s="88"/>
      <c r="P678" s="88"/>
      <c r="Q678" s="88"/>
      <c r="R678" s="88"/>
      <c r="S678" s="88"/>
      <c r="T678" s="88"/>
      <c r="U678" s="88"/>
      <c r="V678" s="88"/>
      <c r="W678" s="88"/>
      <c r="X678" s="88"/>
      <c r="Y678" s="88"/>
      <c r="Z678" s="88"/>
      <c r="AA678" s="88"/>
      <c r="AB678" s="88"/>
      <c r="AC678" s="88"/>
      <c r="AD678" s="88"/>
      <c r="AE678" s="88"/>
      <c r="AF678" s="88"/>
      <c r="AG678" s="88"/>
      <c r="AH678" s="88"/>
    </row>
    <row r="679" spans="1:34" ht="69.75" customHeight="1" x14ac:dyDescent="0.25">
      <c r="A679" s="953"/>
      <c r="B679" s="30" t="s">
        <v>975</v>
      </c>
      <c r="C679" s="30" t="s">
        <v>976</v>
      </c>
      <c r="D679" s="295" t="s">
        <v>381</v>
      </c>
      <c r="E679" s="291">
        <v>783556000</v>
      </c>
      <c r="F679" s="291">
        <v>0</v>
      </c>
      <c r="G679" s="292"/>
      <c r="H679" s="88"/>
      <c r="I679" s="88"/>
      <c r="J679" s="293"/>
      <c r="K679" s="88"/>
      <c r="L679" s="88"/>
      <c r="M679" s="88"/>
      <c r="N679" s="294"/>
      <c r="O679" s="88"/>
      <c r="P679" s="88"/>
      <c r="Q679" s="88"/>
      <c r="R679" s="88"/>
      <c r="S679" s="88"/>
      <c r="T679" s="88"/>
      <c r="U679" s="88"/>
      <c r="V679" s="88"/>
      <c r="W679" s="88"/>
      <c r="X679" s="88"/>
      <c r="Y679" s="88"/>
      <c r="Z679" s="88"/>
      <c r="AA679" s="88"/>
      <c r="AB679" s="88"/>
      <c r="AC679" s="88"/>
      <c r="AD679" s="88"/>
      <c r="AE679" s="88"/>
      <c r="AF679" s="88"/>
      <c r="AG679" s="88"/>
      <c r="AH679" s="88"/>
    </row>
    <row r="680" spans="1:34" ht="69.75" customHeight="1" x14ac:dyDescent="0.25">
      <c r="A680" s="952" t="s">
        <v>941</v>
      </c>
      <c r="B680" s="957" t="s">
        <v>963</v>
      </c>
      <c r="C680" s="957" t="s">
        <v>964</v>
      </c>
      <c r="D680" s="290" t="s">
        <v>344</v>
      </c>
      <c r="E680" s="291">
        <v>971277000</v>
      </c>
      <c r="F680" s="291">
        <v>59114600</v>
      </c>
      <c r="G680" s="292"/>
      <c r="H680" s="88"/>
      <c r="I680" s="88"/>
      <c r="J680" s="293"/>
      <c r="K680" s="88"/>
      <c r="L680" s="88"/>
      <c r="M680" s="88"/>
      <c r="N680" s="294"/>
      <c r="O680" s="88"/>
      <c r="P680" s="88"/>
      <c r="Q680" s="88"/>
      <c r="R680" s="88"/>
      <c r="S680" s="88"/>
      <c r="T680" s="88"/>
      <c r="U680" s="88"/>
      <c r="V680" s="88"/>
      <c r="W680" s="88"/>
      <c r="X680" s="88"/>
      <c r="Y680" s="88"/>
      <c r="Z680" s="88"/>
      <c r="AA680" s="88"/>
      <c r="AB680" s="88"/>
      <c r="AC680" s="88"/>
      <c r="AD680" s="88"/>
      <c r="AE680" s="88"/>
      <c r="AF680" s="88"/>
      <c r="AG680" s="88"/>
      <c r="AH680" s="88"/>
    </row>
    <row r="681" spans="1:34" ht="69.75" customHeight="1" x14ac:dyDescent="0.25">
      <c r="A681" s="948"/>
      <c r="B681" s="694"/>
      <c r="C681" s="694"/>
      <c r="D681" s="290" t="s">
        <v>355</v>
      </c>
      <c r="E681" s="291">
        <v>132270000</v>
      </c>
      <c r="F681" s="291">
        <v>16460267</v>
      </c>
      <c r="G681" s="292"/>
      <c r="H681" s="88"/>
      <c r="I681" s="88"/>
      <c r="J681" s="293"/>
      <c r="K681" s="88"/>
      <c r="L681" s="88"/>
      <c r="M681" s="88"/>
      <c r="N681" s="294"/>
      <c r="O681" s="88"/>
      <c r="P681" s="88"/>
      <c r="Q681" s="88"/>
      <c r="R681" s="88"/>
      <c r="S681" s="88"/>
      <c r="T681" s="88"/>
      <c r="U681" s="88"/>
      <c r="V681" s="88"/>
      <c r="W681" s="88"/>
      <c r="X681" s="88"/>
      <c r="Y681" s="88"/>
      <c r="Z681" s="88"/>
      <c r="AA681" s="88"/>
      <c r="AB681" s="88"/>
      <c r="AC681" s="88"/>
      <c r="AD681" s="88"/>
      <c r="AE681" s="88"/>
      <c r="AF681" s="88"/>
      <c r="AG681" s="88"/>
      <c r="AH681" s="88"/>
    </row>
    <row r="682" spans="1:34" ht="69.75" customHeight="1" x14ac:dyDescent="0.25">
      <c r="A682" s="948"/>
      <c r="B682" s="733"/>
      <c r="C682" s="733"/>
      <c r="D682" s="290" t="s">
        <v>358</v>
      </c>
      <c r="E682" s="291">
        <v>30100000</v>
      </c>
      <c r="F682" s="291">
        <v>3712333</v>
      </c>
      <c r="G682" s="292"/>
      <c r="H682" s="88"/>
      <c r="I682" s="88"/>
      <c r="J682" s="293"/>
      <c r="K682" s="88"/>
      <c r="L682" s="88"/>
      <c r="M682" s="88"/>
      <c r="N682" s="294"/>
      <c r="O682" s="88"/>
      <c r="P682" s="88"/>
      <c r="Q682" s="88"/>
      <c r="R682" s="88"/>
      <c r="S682" s="88"/>
      <c r="T682" s="88"/>
      <c r="U682" s="88"/>
      <c r="V682" s="88"/>
      <c r="W682" s="88"/>
      <c r="X682" s="88"/>
      <c r="Y682" s="88"/>
      <c r="Z682" s="88"/>
      <c r="AA682" s="88"/>
      <c r="AB682" s="88"/>
      <c r="AC682" s="88"/>
      <c r="AD682" s="88"/>
      <c r="AE682" s="88"/>
      <c r="AF682" s="88"/>
      <c r="AG682" s="88"/>
      <c r="AH682" s="88"/>
    </row>
    <row r="683" spans="1:34" ht="69.75" customHeight="1" x14ac:dyDescent="0.25">
      <c r="A683" s="948"/>
      <c r="B683" s="965" t="s">
        <v>967</v>
      </c>
      <c r="C683" s="965" t="s">
        <v>968</v>
      </c>
      <c r="D683" s="295" t="s">
        <v>362</v>
      </c>
      <c r="E683" s="291">
        <v>70434000</v>
      </c>
      <c r="F683" s="291">
        <v>12912900</v>
      </c>
      <c r="G683" s="292"/>
      <c r="H683" s="88"/>
      <c r="I683" s="88"/>
      <c r="J683" s="293"/>
      <c r="K683" s="88"/>
      <c r="L683" s="88"/>
      <c r="M683" s="88"/>
      <c r="N683" s="294"/>
      <c r="O683" s="88"/>
      <c r="P683" s="88"/>
      <c r="Q683" s="88"/>
      <c r="R683" s="88"/>
      <c r="S683" s="88"/>
      <c r="T683" s="88"/>
      <c r="U683" s="88"/>
      <c r="V683" s="88"/>
      <c r="W683" s="88"/>
      <c r="X683" s="88"/>
      <c r="Y683" s="88"/>
      <c r="Z683" s="88"/>
      <c r="AA683" s="88"/>
      <c r="AB683" s="88"/>
      <c r="AC683" s="88"/>
      <c r="AD683" s="88"/>
      <c r="AE683" s="88"/>
      <c r="AF683" s="88"/>
      <c r="AG683" s="88"/>
      <c r="AH683" s="88"/>
    </row>
    <row r="684" spans="1:34" ht="69.75" customHeight="1" x14ac:dyDescent="0.25">
      <c r="A684" s="948"/>
      <c r="B684" s="694"/>
      <c r="C684" s="694"/>
      <c r="D684" s="295" t="s">
        <v>1148</v>
      </c>
      <c r="E684" s="291">
        <v>672748000</v>
      </c>
      <c r="F684" s="291">
        <v>68435501</v>
      </c>
      <c r="G684" s="292"/>
      <c r="H684" s="88"/>
      <c r="I684" s="88"/>
      <c r="J684" s="293"/>
      <c r="K684" s="88"/>
      <c r="L684" s="88"/>
      <c r="M684" s="88"/>
      <c r="N684" s="294"/>
      <c r="O684" s="88"/>
      <c r="P684" s="88"/>
      <c r="Q684" s="88"/>
      <c r="R684" s="88"/>
      <c r="S684" s="88"/>
      <c r="T684" s="88"/>
      <c r="U684" s="88"/>
      <c r="V684" s="88"/>
      <c r="W684" s="88"/>
      <c r="X684" s="88"/>
      <c r="Y684" s="88"/>
      <c r="Z684" s="88"/>
      <c r="AA684" s="88"/>
      <c r="AB684" s="88"/>
      <c r="AC684" s="88"/>
      <c r="AD684" s="88"/>
      <c r="AE684" s="88"/>
      <c r="AF684" s="88"/>
      <c r="AG684" s="88"/>
      <c r="AH684" s="88"/>
    </row>
    <row r="685" spans="1:34" ht="69.75" customHeight="1" x14ac:dyDescent="0.25">
      <c r="A685" s="948"/>
      <c r="B685" s="694"/>
      <c r="C685" s="694"/>
      <c r="D685" s="295" t="s">
        <v>1149</v>
      </c>
      <c r="E685" s="291">
        <v>309585000</v>
      </c>
      <c r="F685" s="291">
        <v>31224233</v>
      </c>
      <c r="G685" s="292"/>
      <c r="H685" s="88"/>
      <c r="I685" s="88"/>
      <c r="J685" s="293"/>
      <c r="K685" s="88"/>
      <c r="L685" s="88"/>
      <c r="M685" s="88"/>
      <c r="N685" s="294"/>
      <c r="O685" s="88"/>
      <c r="P685" s="88"/>
      <c r="Q685" s="88"/>
      <c r="R685" s="88"/>
      <c r="S685" s="88"/>
      <c r="T685" s="88"/>
      <c r="U685" s="88"/>
      <c r="V685" s="88"/>
      <c r="W685" s="88"/>
      <c r="X685" s="88"/>
      <c r="Y685" s="88"/>
      <c r="Z685" s="88"/>
      <c r="AA685" s="88"/>
      <c r="AB685" s="88"/>
      <c r="AC685" s="88"/>
      <c r="AD685" s="88"/>
      <c r="AE685" s="88"/>
      <c r="AF685" s="88"/>
      <c r="AG685" s="88"/>
      <c r="AH685" s="88"/>
    </row>
    <row r="686" spans="1:34" ht="69.75" customHeight="1" x14ac:dyDescent="0.25">
      <c r="A686" s="948"/>
      <c r="B686" s="733"/>
      <c r="C686" s="733"/>
      <c r="D686" s="295" t="s">
        <v>891</v>
      </c>
      <c r="E686" s="296">
        <v>436082000</v>
      </c>
      <c r="F686" s="291">
        <v>43949134</v>
      </c>
      <c r="G686" s="298"/>
      <c r="H686" s="88"/>
      <c r="I686" s="88"/>
      <c r="J686" s="293"/>
      <c r="K686" s="88"/>
      <c r="L686" s="88"/>
      <c r="M686" s="88"/>
      <c r="N686" s="294"/>
      <c r="O686" s="88"/>
      <c r="P686" s="88"/>
      <c r="Q686" s="88"/>
      <c r="R686" s="88"/>
      <c r="S686" s="88"/>
      <c r="T686" s="88"/>
      <c r="U686" s="88"/>
      <c r="V686" s="88"/>
      <c r="W686" s="88"/>
      <c r="X686" s="88"/>
      <c r="Y686" s="88"/>
      <c r="Z686" s="88"/>
      <c r="AA686" s="88"/>
      <c r="AB686" s="88"/>
      <c r="AC686" s="88"/>
      <c r="AD686" s="88"/>
      <c r="AE686" s="88"/>
      <c r="AF686" s="88"/>
      <c r="AG686" s="88"/>
      <c r="AH686" s="88"/>
    </row>
    <row r="687" spans="1:34" ht="69.75" customHeight="1" x14ac:dyDescent="0.25">
      <c r="A687" s="948"/>
      <c r="B687" s="30" t="s">
        <v>971</v>
      </c>
      <c r="C687" s="30" t="s">
        <v>972</v>
      </c>
      <c r="D687" s="295" t="s">
        <v>1150</v>
      </c>
      <c r="E687" s="291">
        <v>289724000</v>
      </c>
      <c r="F687" s="291">
        <v>31614966</v>
      </c>
      <c r="G687" s="292"/>
      <c r="H687" s="88"/>
      <c r="I687" s="88"/>
      <c r="J687" s="293"/>
      <c r="K687" s="88"/>
      <c r="L687" s="88"/>
      <c r="M687" s="88"/>
      <c r="N687" s="294"/>
      <c r="O687" s="88"/>
      <c r="P687" s="88"/>
      <c r="Q687" s="88"/>
      <c r="R687" s="88"/>
      <c r="S687" s="88"/>
      <c r="T687" s="88"/>
      <c r="U687" s="88"/>
      <c r="V687" s="88"/>
      <c r="W687" s="88"/>
      <c r="X687" s="88"/>
      <c r="Y687" s="88"/>
      <c r="Z687" s="88"/>
      <c r="AA687" s="88"/>
      <c r="AB687" s="88"/>
      <c r="AC687" s="88"/>
      <c r="AD687" s="88"/>
      <c r="AE687" s="88"/>
      <c r="AF687" s="88"/>
      <c r="AG687" s="88"/>
      <c r="AH687" s="88"/>
    </row>
    <row r="688" spans="1:34" ht="69.75" customHeight="1" x14ac:dyDescent="0.25">
      <c r="A688" s="953"/>
      <c r="B688" s="30" t="s">
        <v>975</v>
      </c>
      <c r="C688" s="30" t="s">
        <v>976</v>
      </c>
      <c r="D688" s="295" t="s">
        <v>381</v>
      </c>
      <c r="E688" s="291">
        <v>783556000</v>
      </c>
      <c r="F688" s="291">
        <v>38922800</v>
      </c>
      <c r="G688" s="292"/>
      <c r="H688" s="88"/>
      <c r="I688" s="88"/>
      <c r="J688" s="293"/>
      <c r="K688" s="88"/>
      <c r="L688" s="88"/>
      <c r="M688" s="88"/>
      <c r="N688" s="294"/>
      <c r="O688" s="88"/>
      <c r="P688" s="88"/>
      <c r="Q688" s="88"/>
      <c r="R688" s="88"/>
      <c r="S688" s="88"/>
      <c r="T688" s="88"/>
      <c r="U688" s="88"/>
      <c r="V688" s="88"/>
      <c r="W688" s="88"/>
      <c r="X688" s="88"/>
      <c r="Y688" s="88"/>
      <c r="Z688" s="88"/>
      <c r="AA688" s="88"/>
      <c r="AB688" s="88"/>
      <c r="AC688" s="88"/>
      <c r="AD688" s="88"/>
      <c r="AE688" s="88"/>
      <c r="AF688" s="88"/>
      <c r="AG688" s="88"/>
      <c r="AH688" s="88"/>
    </row>
    <row r="689" spans="1:34" ht="69.75" customHeight="1" x14ac:dyDescent="0.25">
      <c r="A689" s="952" t="s">
        <v>942</v>
      </c>
      <c r="B689" s="957" t="s">
        <v>963</v>
      </c>
      <c r="C689" s="957" t="s">
        <v>964</v>
      </c>
      <c r="D689" s="290" t="s">
        <v>344</v>
      </c>
      <c r="E689" s="291">
        <v>970441800</v>
      </c>
      <c r="F689" s="291">
        <v>129872433</v>
      </c>
      <c r="G689" s="292"/>
      <c r="H689" s="88"/>
      <c r="I689" s="88"/>
      <c r="J689" s="293"/>
      <c r="K689" s="88"/>
      <c r="L689" s="88"/>
      <c r="M689" s="88"/>
      <c r="N689" s="294"/>
      <c r="O689" s="88"/>
      <c r="P689" s="88"/>
      <c r="Q689" s="88"/>
      <c r="R689" s="88"/>
      <c r="S689" s="88"/>
      <c r="T689" s="88"/>
      <c r="U689" s="88"/>
      <c r="V689" s="88"/>
      <c r="W689" s="88"/>
      <c r="X689" s="88"/>
      <c r="Y689" s="88"/>
      <c r="Z689" s="88"/>
      <c r="AA689" s="88"/>
      <c r="AB689" s="88"/>
      <c r="AC689" s="88"/>
      <c r="AD689" s="88"/>
      <c r="AE689" s="88"/>
      <c r="AF689" s="88"/>
      <c r="AG689" s="88"/>
      <c r="AH689" s="88"/>
    </row>
    <row r="690" spans="1:34" ht="69.75" customHeight="1" x14ac:dyDescent="0.25">
      <c r="A690" s="948"/>
      <c r="B690" s="694"/>
      <c r="C690" s="694"/>
      <c r="D690" s="290" t="s">
        <v>355</v>
      </c>
      <c r="E690" s="291">
        <v>132270000</v>
      </c>
      <c r="F690" s="291">
        <v>29687267</v>
      </c>
      <c r="G690" s="292"/>
      <c r="H690" s="88"/>
      <c r="I690" s="88"/>
      <c r="J690" s="293"/>
      <c r="K690" s="88"/>
      <c r="L690" s="88"/>
      <c r="M690" s="88"/>
      <c r="N690" s="294"/>
      <c r="O690" s="88"/>
      <c r="P690" s="88"/>
      <c r="Q690" s="88"/>
      <c r="R690" s="88"/>
      <c r="S690" s="88"/>
      <c r="T690" s="88"/>
      <c r="U690" s="88"/>
      <c r="V690" s="88"/>
      <c r="W690" s="88"/>
      <c r="X690" s="88"/>
      <c r="Y690" s="88"/>
      <c r="Z690" s="88"/>
      <c r="AA690" s="88"/>
      <c r="AB690" s="88"/>
      <c r="AC690" s="88"/>
      <c r="AD690" s="88"/>
      <c r="AE690" s="88"/>
      <c r="AF690" s="88"/>
      <c r="AG690" s="88"/>
      <c r="AH690" s="88"/>
    </row>
    <row r="691" spans="1:34" ht="69.75" customHeight="1" x14ac:dyDescent="0.25">
      <c r="A691" s="948"/>
      <c r="B691" s="733"/>
      <c r="C691" s="733"/>
      <c r="D691" s="290" t="s">
        <v>358</v>
      </c>
      <c r="E691" s="291">
        <v>30935200</v>
      </c>
      <c r="F691" s="291">
        <v>6722333</v>
      </c>
      <c r="G691" s="292"/>
      <c r="H691" s="88"/>
      <c r="I691" s="88"/>
      <c r="J691" s="293"/>
      <c r="K691" s="88"/>
      <c r="L691" s="88"/>
      <c r="M691" s="88"/>
      <c r="N691" s="294"/>
      <c r="O691" s="88"/>
      <c r="P691" s="88"/>
      <c r="Q691" s="88"/>
      <c r="R691" s="88"/>
      <c r="S691" s="88"/>
      <c r="T691" s="88"/>
      <c r="U691" s="88"/>
      <c r="V691" s="88"/>
      <c r="W691" s="88"/>
      <c r="X691" s="88"/>
      <c r="Y691" s="88"/>
      <c r="Z691" s="88"/>
      <c r="AA691" s="88"/>
      <c r="AB691" s="88"/>
      <c r="AC691" s="88"/>
      <c r="AD691" s="88"/>
      <c r="AE691" s="88"/>
      <c r="AF691" s="88"/>
      <c r="AG691" s="88"/>
      <c r="AH691" s="88"/>
    </row>
    <row r="692" spans="1:34" ht="69.75" customHeight="1" x14ac:dyDescent="0.25">
      <c r="A692" s="948"/>
      <c r="B692" s="965" t="s">
        <v>967</v>
      </c>
      <c r="C692" s="965" t="s">
        <v>968</v>
      </c>
      <c r="D692" s="295" t="s">
        <v>362</v>
      </c>
      <c r="E692" s="291">
        <v>70434000</v>
      </c>
      <c r="F692" s="291">
        <v>20738900</v>
      </c>
      <c r="G692" s="292"/>
      <c r="H692" s="88"/>
      <c r="I692" s="88"/>
      <c r="J692" s="293"/>
      <c r="K692" s="88"/>
      <c r="L692" s="88"/>
      <c r="M692" s="88"/>
      <c r="N692" s="294"/>
      <c r="O692" s="88"/>
      <c r="P692" s="88"/>
      <c r="Q692" s="88"/>
      <c r="R692" s="88"/>
      <c r="S692" s="88"/>
      <c r="T692" s="88"/>
      <c r="U692" s="88"/>
      <c r="V692" s="88"/>
      <c r="W692" s="88"/>
      <c r="X692" s="88"/>
      <c r="Y692" s="88"/>
      <c r="Z692" s="88"/>
      <c r="AA692" s="88"/>
      <c r="AB692" s="88"/>
      <c r="AC692" s="88"/>
      <c r="AD692" s="88"/>
      <c r="AE692" s="88"/>
      <c r="AF692" s="88"/>
      <c r="AG692" s="88"/>
      <c r="AH692" s="88"/>
    </row>
    <row r="693" spans="1:34" ht="69.75" customHeight="1" x14ac:dyDescent="0.25">
      <c r="A693" s="948"/>
      <c r="B693" s="694"/>
      <c r="C693" s="694"/>
      <c r="D693" s="295" t="s">
        <v>1148</v>
      </c>
      <c r="E693" s="291">
        <v>672748000</v>
      </c>
      <c r="F693" s="291">
        <v>127101501</v>
      </c>
      <c r="G693" s="292"/>
      <c r="H693" s="88"/>
      <c r="I693" s="88"/>
      <c r="J693" s="293"/>
      <c r="K693" s="88"/>
      <c r="L693" s="88"/>
      <c r="M693" s="88"/>
      <c r="N693" s="294"/>
      <c r="O693" s="88"/>
      <c r="P693" s="88"/>
      <c r="Q693" s="88"/>
      <c r="R693" s="88"/>
      <c r="S693" s="88"/>
      <c r="T693" s="88"/>
      <c r="U693" s="88"/>
      <c r="V693" s="88"/>
      <c r="W693" s="88"/>
      <c r="X693" s="88"/>
      <c r="Y693" s="88"/>
      <c r="Z693" s="88"/>
      <c r="AA693" s="88"/>
      <c r="AB693" s="88"/>
      <c r="AC693" s="88"/>
      <c r="AD693" s="88"/>
      <c r="AE693" s="88"/>
      <c r="AF693" s="88"/>
      <c r="AG693" s="88"/>
      <c r="AH693" s="88"/>
    </row>
    <row r="694" spans="1:34" ht="69.75" customHeight="1" x14ac:dyDescent="0.25">
      <c r="A694" s="948"/>
      <c r="B694" s="694"/>
      <c r="C694" s="694"/>
      <c r="D694" s="295" t="s">
        <v>1149</v>
      </c>
      <c r="E694" s="291">
        <v>309585000</v>
      </c>
      <c r="F694" s="291">
        <v>62826233</v>
      </c>
      <c r="G694" s="292"/>
      <c r="H694" s="88"/>
      <c r="I694" s="88"/>
      <c r="J694" s="293"/>
      <c r="K694" s="88"/>
      <c r="L694" s="88"/>
      <c r="M694" s="88"/>
      <c r="N694" s="294"/>
      <c r="O694" s="88"/>
      <c r="P694" s="88"/>
      <c r="Q694" s="88"/>
      <c r="R694" s="88"/>
      <c r="S694" s="88"/>
      <c r="T694" s="88"/>
      <c r="U694" s="88"/>
      <c r="V694" s="88"/>
      <c r="W694" s="88"/>
      <c r="X694" s="88"/>
      <c r="Y694" s="88"/>
      <c r="Z694" s="88"/>
      <c r="AA694" s="88"/>
      <c r="AB694" s="88"/>
      <c r="AC694" s="88"/>
      <c r="AD694" s="88"/>
      <c r="AE694" s="88"/>
      <c r="AF694" s="88"/>
      <c r="AG694" s="88"/>
      <c r="AH694" s="88"/>
    </row>
    <row r="695" spans="1:34" ht="69.75" customHeight="1" x14ac:dyDescent="0.25">
      <c r="A695" s="948"/>
      <c r="B695" s="733"/>
      <c r="C695" s="733"/>
      <c r="D695" s="295" t="s">
        <v>891</v>
      </c>
      <c r="E695" s="296">
        <v>436082000</v>
      </c>
      <c r="F695" s="291">
        <v>88439134</v>
      </c>
      <c r="G695" s="298"/>
      <c r="H695" s="88"/>
      <c r="I695" s="88"/>
      <c r="J695" s="293"/>
      <c r="K695" s="88"/>
      <c r="L695" s="88"/>
      <c r="M695" s="88"/>
      <c r="N695" s="294"/>
      <c r="O695" s="88"/>
      <c r="P695" s="88"/>
      <c r="Q695" s="88"/>
      <c r="R695" s="88"/>
      <c r="S695" s="88"/>
      <c r="T695" s="88"/>
      <c r="U695" s="88"/>
      <c r="V695" s="88"/>
      <c r="W695" s="88"/>
      <c r="X695" s="88"/>
      <c r="Y695" s="88"/>
      <c r="Z695" s="88"/>
      <c r="AA695" s="88"/>
      <c r="AB695" s="88"/>
      <c r="AC695" s="88"/>
      <c r="AD695" s="88"/>
      <c r="AE695" s="88"/>
      <c r="AF695" s="88"/>
      <c r="AG695" s="88"/>
      <c r="AH695" s="88"/>
    </row>
    <row r="696" spans="1:34" ht="69.75" customHeight="1" x14ac:dyDescent="0.25">
      <c r="A696" s="948"/>
      <c r="B696" s="30" t="s">
        <v>971</v>
      </c>
      <c r="C696" s="30" t="s">
        <v>972</v>
      </c>
      <c r="D696" s="295" t="s">
        <v>1150</v>
      </c>
      <c r="E696" s="291">
        <v>289724000</v>
      </c>
      <c r="F696" s="291">
        <v>59017966</v>
      </c>
      <c r="G696" s="292"/>
      <c r="H696" s="88"/>
      <c r="I696" s="88"/>
      <c r="J696" s="293"/>
      <c r="K696" s="88"/>
      <c r="L696" s="88"/>
      <c r="M696" s="88"/>
      <c r="N696" s="294"/>
      <c r="O696" s="88"/>
      <c r="P696" s="88"/>
      <c r="Q696" s="88"/>
      <c r="R696" s="88"/>
      <c r="S696" s="88"/>
      <c r="T696" s="88"/>
      <c r="U696" s="88"/>
      <c r="V696" s="88"/>
      <c r="W696" s="88"/>
      <c r="X696" s="88"/>
      <c r="Y696" s="88"/>
      <c r="Z696" s="88"/>
      <c r="AA696" s="88"/>
      <c r="AB696" s="88"/>
      <c r="AC696" s="88"/>
      <c r="AD696" s="88"/>
      <c r="AE696" s="88"/>
      <c r="AF696" s="88"/>
      <c r="AG696" s="88"/>
      <c r="AH696" s="88"/>
    </row>
    <row r="697" spans="1:34" ht="69.75" customHeight="1" x14ac:dyDescent="0.25">
      <c r="A697" s="953"/>
      <c r="B697" s="30" t="s">
        <v>975</v>
      </c>
      <c r="C697" s="30" t="s">
        <v>976</v>
      </c>
      <c r="D697" s="295" t="s">
        <v>381</v>
      </c>
      <c r="E697" s="291">
        <v>783556000</v>
      </c>
      <c r="F697" s="291">
        <v>78019800</v>
      </c>
      <c r="G697" s="292"/>
      <c r="H697" s="88"/>
      <c r="I697" s="88"/>
      <c r="J697" s="293"/>
      <c r="K697" s="88"/>
      <c r="L697" s="88"/>
      <c r="M697" s="88"/>
      <c r="N697" s="294"/>
      <c r="O697" s="88"/>
      <c r="P697" s="88"/>
      <c r="Q697" s="88"/>
      <c r="R697" s="88"/>
      <c r="S697" s="88"/>
      <c r="T697" s="88"/>
      <c r="U697" s="88"/>
      <c r="V697" s="88"/>
      <c r="W697" s="88"/>
      <c r="X697" s="88"/>
      <c r="Y697" s="88"/>
      <c r="Z697" s="88"/>
      <c r="AA697" s="88"/>
      <c r="AB697" s="88"/>
      <c r="AC697" s="88"/>
      <c r="AD697" s="88"/>
      <c r="AE697" s="88"/>
      <c r="AF697" s="88"/>
      <c r="AG697" s="88"/>
      <c r="AH697" s="88"/>
    </row>
    <row r="698" spans="1:34" ht="69.75" customHeight="1" x14ac:dyDescent="0.25">
      <c r="A698" s="952" t="s">
        <v>943</v>
      </c>
      <c r="B698" s="957" t="s">
        <v>963</v>
      </c>
      <c r="C698" s="957" t="s">
        <v>964</v>
      </c>
      <c r="D698" s="290" t="s">
        <v>344</v>
      </c>
      <c r="E698" s="291">
        <v>970441800</v>
      </c>
      <c r="F698" s="291">
        <v>235610433</v>
      </c>
      <c r="G698" s="292"/>
      <c r="H698" s="88"/>
      <c r="I698" s="88"/>
      <c r="J698" s="293"/>
      <c r="K698" s="88"/>
      <c r="L698" s="88"/>
      <c r="M698" s="88"/>
      <c r="N698" s="294"/>
      <c r="O698" s="88"/>
      <c r="P698" s="88"/>
      <c r="Q698" s="88"/>
      <c r="R698" s="88"/>
      <c r="S698" s="88"/>
      <c r="T698" s="88"/>
      <c r="U698" s="88"/>
      <c r="V698" s="88"/>
      <c r="W698" s="88"/>
      <c r="X698" s="88"/>
      <c r="Y698" s="88"/>
      <c r="Z698" s="88"/>
      <c r="AA698" s="88"/>
      <c r="AB698" s="88"/>
      <c r="AC698" s="88"/>
      <c r="AD698" s="88"/>
      <c r="AE698" s="88"/>
      <c r="AF698" s="88"/>
      <c r="AG698" s="88"/>
      <c r="AH698" s="88"/>
    </row>
    <row r="699" spans="1:34" ht="69.75" customHeight="1" x14ac:dyDescent="0.25">
      <c r="A699" s="948"/>
      <c r="B699" s="694"/>
      <c r="C699" s="694"/>
      <c r="D699" s="290" t="s">
        <v>355</v>
      </c>
      <c r="E699" s="291">
        <v>132270000</v>
      </c>
      <c r="F699" s="291">
        <v>42914267</v>
      </c>
      <c r="G699" s="292"/>
      <c r="H699" s="88"/>
      <c r="I699" s="88"/>
      <c r="J699" s="293"/>
      <c r="K699" s="88"/>
      <c r="L699" s="88"/>
      <c r="M699" s="88"/>
      <c r="N699" s="294"/>
      <c r="O699" s="88"/>
      <c r="P699" s="88"/>
      <c r="Q699" s="88"/>
      <c r="R699" s="88"/>
      <c r="S699" s="88"/>
      <c r="T699" s="88"/>
      <c r="U699" s="88"/>
      <c r="V699" s="88"/>
      <c r="W699" s="88"/>
      <c r="X699" s="88"/>
      <c r="Y699" s="88"/>
      <c r="Z699" s="88"/>
      <c r="AA699" s="88"/>
      <c r="AB699" s="88"/>
      <c r="AC699" s="88"/>
      <c r="AD699" s="88"/>
      <c r="AE699" s="88"/>
      <c r="AF699" s="88"/>
      <c r="AG699" s="88"/>
      <c r="AH699" s="88"/>
    </row>
    <row r="700" spans="1:34" ht="69.75" customHeight="1" x14ac:dyDescent="0.25">
      <c r="A700" s="948"/>
      <c r="B700" s="733"/>
      <c r="C700" s="733"/>
      <c r="D700" s="290" t="s">
        <v>358</v>
      </c>
      <c r="E700" s="291">
        <v>30935200</v>
      </c>
      <c r="F700" s="291">
        <v>9732333</v>
      </c>
      <c r="G700" s="292"/>
      <c r="H700" s="88"/>
      <c r="I700" s="88"/>
      <c r="J700" s="293"/>
      <c r="K700" s="88"/>
      <c r="L700" s="88"/>
      <c r="M700" s="88"/>
      <c r="N700" s="294"/>
      <c r="O700" s="88"/>
      <c r="P700" s="88"/>
      <c r="Q700" s="88"/>
      <c r="R700" s="88"/>
      <c r="S700" s="88"/>
      <c r="T700" s="88"/>
      <c r="U700" s="88"/>
      <c r="V700" s="88"/>
      <c r="W700" s="88"/>
      <c r="X700" s="88"/>
      <c r="Y700" s="88"/>
      <c r="Z700" s="88"/>
      <c r="AA700" s="88"/>
      <c r="AB700" s="88"/>
      <c r="AC700" s="88"/>
      <c r="AD700" s="88"/>
      <c r="AE700" s="88"/>
      <c r="AF700" s="88"/>
      <c r="AG700" s="88"/>
      <c r="AH700" s="88"/>
    </row>
    <row r="701" spans="1:34" ht="69.75" customHeight="1" x14ac:dyDescent="0.25">
      <c r="A701" s="948"/>
      <c r="B701" s="965" t="s">
        <v>967</v>
      </c>
      <c r="C701" s="965" t="s">
        <v>968</v>
      </c>
      <c r="D701" s="295" t="s">
        <v>362</v>
      </c>
      <c r="E701" s="291">
        <v>70434000</v>
      </c>
      <c r="F701" s="291">
        <v>28564900</v>
      </c>
      <c r="G701" s="292"/>
      <c r="H701" s="88"/>
      <c r="I701" s="88"/>
      <c r="J701" s="293"/>
      <c r="K701" s="88"/>
      <c r="L701" s="88"/>
      <c r="M701" s="88"/>
      <c r="N701" s="294"/>
      <c r="O701" s="88"/>
      <c r="P701" s="88"/>
      <c r="Q701" s="88"/>
      <c r="R701" s="88"/>
      <c r="S701" s="88"/>
      <c r="T701" s="88"/>
      <c r="U701" s="88"/>
      <c r="V701" s="88"/>
      <c r="W701" s="88"/>
      <c r="X701" s="88"/>
      <c r="Y701" s="88"/>
      <c r="Z701" s="88"/>
      <c r="AA701" s="88"/>
      <c r="AB701" s="88"/>
      <c r="AC701" s="88"/>
      <c r="AD701" s="88"/>
      <c r="AE701" s="88"/>
      <c r="AF701" s="88"/>
      <c r="AG701" s="88"/>
      <c r="AH701" s="88"/>
    </row>
    <row r="702" spans="1:34" ht="69.75" customHeight="1" x14ac:dyDescent="0.25">
      <c r="A702" s="948"/>
      <c r="B702" s="694"/>
      <c r="C702" s="694"/>
      <c r="D702" s="295" t="s">
        <v>1148</v>
      </c>
      <c r="E702" s="291">
        <v>672748000</v>
      </c>
      <c r="F702" s="291">
        <v>185767501</v>
      </c>
      <c r="G702" s="292"/>
      <c r="H702" s="88"/>
      <c r="I702" s="88"/>
      <c r="J702" s="293"/>
      <c r="K702" s="88"/>
      <c r="L702" s="88"/>
      <c r="M702" s="88"/>
      <c r="N702" s="294"/>
      <c r="O702" s="88"/>
      <c r="P702" s="88"/>
      <c r="Q702" s="88"/>
      <c r="R702" s="88"/>
      <c r="S702" s="88"/>
      <c r="T702" s="88"/>
      <c r="U702" s="88"/>
      <c r="V702" s="88"/>
      <c r="W702" s="88"/>
      <c r="X702" s="88"/>
      <c r="Y702" s="88"/>
      <c r="Z702" s="88"/>
      <c r="AA702" s="88"/>
      <c r="AB702" s="88"/>
      <c r="AC702" s="88"/>
      <c r="AD702" s="88"/>
      <c r="AE702" s="88"/>
      <c r="AF702" s="88"/>
      <c r="AG702" s="88"/>
      <c r="AH702" s="88"/>
    </row>
    <row r="703" spans="1:34" ht="69.75" customHeight="1" x14ac:dyDescent="0.25">
      <c r="A703" s="948"/>
      <c r="B703" s="694"/>
      <c r="C703" s="694"/>
      <c r="D703" s="295" t="s">
        <v>1149</v>
      </c>
      <c r="E703" s="291">
        <v>309585000</v>
      </c>
      <c r="F703" s="291">
        <v>94428233</v>
      </c>
      <c r="G703" s="292"/>
      <c r="H703" s="88"/>
      <c r="I703" s="88"/>
      <c r="J703" s="293"/>
      <c r="K703" s="88"/>
      <c r="L703" s="88"/>
      <c r="M703" s="88"/>
      <c r="N703" s="294"/>
      <c r="O703" s="88"/>
      <c r="P703" s="88"/>
      <c r="Q703" s="88"/>
      <c r="R703" s="88"/>
      <c r="S703" s="88"/>
      <c r="T703" s="88"/>
      <c r="U703" s="88"/>
      <c r="V703" s="88"/>
      <c r="W703" s="88"/>
      <c r="X703" s="88"/>
      <c r="Y703" s="88"/>
      <c r="Z703" s="88"/>
      <c r="AA703" s="88"/>
      <c r="AB703" s="88"/>
      <c r="AC703" s="88"/>
      <c r="AD703" s="88"/>
      <c r="AE703" s="88"/>
      <c r="AF703" s="88"/>
      <c r="AG703" s="88"/>
      <c r="AH703" s="88"/>
    </row>
    <row r="704" spans="1:34" ht="69.75" customHeight="1" x14ac:dyDescent="0.25">
      <c r="A704" s="948"/>
      <c r="B704" s="733"/>
      <c r="C704" s="733"/>
      <c r="D704" s="295" t="s">
        <v>891</v>
      </c>
      <c r="E704" s="296">
        <v>436082000</v>
      </c>
      <c r="F704" s="291">
        <v>132929134</v>
      </c>
      <c r="G704" s="298"/>
      <c r="H704" s="88"/>
      <c r="I704" s="88"/>
      <c r="J704" s="293"/>
      <c r="K704" s="88"/>
      <c r="L704" s="88"/>
      <c r="M704" s="88"/>
      <c r="N704" s="294"/>
      <c r="O704" s="88"/>
      <c r="P704" s="88"/>
      <c r="Q704" s="88"/>
      <c r="R704" s="88"/>
      <c r="S704" s="88"/>
      <c r="T704" s="88"/>
      <c r="U704" s="88"/>
      <c r="V704" s="88"/>
      <c r="W704" s="88"/>
      <c r="X704" s="88"/>
      <c r="Y704" s="88"/>
      <c r="Z704" s="88"/>
      <c r="AA704" s="88"/>
      <c r="AB704" s="88"/>
      <c r="AC704" s="88"/>
      <c r="AD704" s="88"/>
      <c r="AE704" s="88"/>
      <c r="AF704" s="88"/>
      <c r="AG704" s="88"/>
      <c r="AH704" s="88"/>
    </row>
    <row r="705" spans="1:34" ht="69.75" customHeight="1" x14ac:dyDescent="0.25">
      <c r="A705" s="948"/>
      <c r="B705" s="30" t="s">
        <v>971</v>
      </c>
      <c r="C705" s="30" t="s">
        <v>972</v>
      </c>
      <c r="D705" s="295" t="s">
        <v>1150</v>
      </c>
      <c r="E705" s="291">
        <v>289724000</v>
      </c>
      <c r="F705" s="291">
        <v>93434966</v>
      </c>
      <c r="G705" s="292"/>
      <c r="H705" s="88"/>
      <c r="I705" s="88"/>
      <c r="J705" s="293"/>
      <c r="K705" s="88"/>
      <c r="L705" s="88"/>
      <c r="M705" s="88"/>
      <c r="N705" s="294"/>
      <c r="O705" s="88"/>
      <c r="P705" s="88"/>
      <c r="Q705" s="88"/>
      <c r="R705" s="88"/>
      <c r="S705" s="88"/>
      <c r="T705" s="88"/>
      <c r="U705" s="88"/>
      <c r="V705" s="88"/>
      <c r="W705" s="88"/>
      <c r="X705" s="88"/>
      <c r="Y705" s="88"/>
      <c r="Z705" s="88"/>
      <c r="AA705" s="88"/>
      <c r="AB705" s="88"/>
      <c r="AC705" s="88"/>
      <c r="AD705" s="88"/>
      <c r="AE705" s="88"/>
      <c r="AF705" s="88"/>
      <c r="AG705" s="88"/>
      <c r="AH705" s="88"/>
    </row>
    <row r="706" spans="1:34" ht="69.75" customHeight="1" x14ac:dyDescent="0.25">
      <c r="A706" s="953"/>
      <c r="B706" s="30" t="s">
        <v>975</v>
      </c>
      <c r="C706" s="30" t="s">
        <v>976</v>
      </c>
      <c r="D706" s="295" t="s">
        <v>381</v>
      </c>
      <c r="E706" s="291">
        <v>783556000</v>
      </c>
      <c r="F706" s="291">
        <v>124220800</v>
      </c>
      <c r="G706" s="292"/>
      <c r="H706" s="88"/>
      <c r="I706" s="88"/>
      <c r="J706" s="293"/>
      <c r="K706" s="88"/>
      <c r="L706" s="88"/>
      <c r="M706" s="88"/>
      <c r="N706" s="294"/>
      <c r="O706" s="88"/>
      <c r="P706" s="88"/>
      <c r="Q706" s="88"/>
      <c r="R706" s="88"/>
      <c r="S706" s="88"/>
      <c r="T706" s="88"/>
      <c r="U706" s="88"/>
      <c r="V706" s="88"/>
      <c r="W706" s="88"/>
      <c r="X706" s="88"/>
      <c r="Y706" s="88"/>
      <c r="Z706" s="88"/>
      <c r="AA706" s="88"/>
      <c r="AB706" s="88"/>
      <c r="AC706" s="88"/>
      <c r="AD706" s="88"/>
      <c r="AE706" s="88"/>
      <c r="AF706" s="88"/>
      <c r="AG706" s="88"/>
      <c r="AH706" s="88"/>
    </row>
    <row r="707" spans="1:34" ht="69.75" customHeight="1" x14ac:dyDescent="0.25">
      <c r="A707" s="952" t="s">
        <v>944</v>
      </c>
      <c r="B707" s="957" t="s">
        <v>963</v>
      </c>
      <c r="C707" s="957" t="s">
        <v>964</v>
      </c>
      <c r="D707" s="290" t="s">
        <v>344</v>
      </c>
      <c r="E707" s="291">
        <v>970441800</v>
      </c>
      <c r="F707" s="291">
        <v>316572428</v>
      </c>
      <c r="G707" s="292"/>
      <c r="H707" s="88"/>
      <c r="I707" s="88"/>
      <c r="J707" s="293"/>
      <c r="K707" s="88"/>
      <c r="L707" s="88"/>
      <c r="M707" s="88"/>
      <c r="N707" s="294"/>
      <c r="O707" s="88"/>
      <c r="P707" s="88"/>
      <c r="Q707" s="88"/>
      <c r="R707" s="88"/>
      <c r="S707" s="88"/>
      <c r="T707" s="88"/>
      <c r="U707" s="88"/>
      <c r="V707" s="88"/>
      <c r="W707" s="88"/>
      <c r="X707" s="88"/>
      <c r="Y707" s="88"/>
      <c r="Z707" s="88"/>
      <c r="AA707" s="88"/>
      <c r="AB707" s="88"/>
      <c r="AC707" s="88"/>
      <c r="AD707" s="88"/>
      <c r="AE707" s="88"/>
      <c r="AF707" s="88"/>
      <c r="AG707" s="88"/>
      <c r="AH707" s="88"/>
    </row>
    <row r="708" spans="1:34" ht="69.75" customHeight="1" x14ac:dyDescent="0.25">
      <c r="A708" s="948"/>
      <c r="B708" s="694"/>
      <c r="C708" s="694"/>
      <c r="D708" s="290" t="s">
        <v>355</v>
      </c>
      <c r="E708" s="291">
        <v>132270000</v>
      </c>
      <c r="F708" s="291">
        <v>56141267</v>
      </c>
      <c r="G708" s="292"/>
      <c r="H708" s="88"/>
      <c r="I708" s="88"/>
      <c r="J708" s="293"/>
      <c r="K708" s="88"/>
      <c r="L708" s="88"/>
      <c r="M708" s="88"/>
      <c r="N708" s="294"/>
      <c r="O708" s="88"/>
      <c r="P708" s="88"/>
      <c r="Q708" s="88"/>
      <c r="R708" s="88"/>
      <c r="S708" s="88"/>
      <c r="T708" s="88"/>
      <c r="U708" s="88"/>
      <c r="V708" s="88"/>
      <c r="W708" s="88"/>
      <c r="X708" s="88"/>
      <c r="Y708" s="88"/>
      <c r="Z708" s="88"/>
      <c r="AA708" s="88"/>
      <c r="AB708" s="88"/>
      <c r="AC708" s="88"/>
      <c r="AD708" s="88"/>
      <c r="AE708" s="88"/>
      <c r="AF708" s="88"/>
      <c r="AG708" s="88"/>
      <c r="AH708" s="88"/>
    </row>
    <row r="709" spans="1:34" ht="69.75" customHeight="1" x14ac:dyDescent="0.25">
      <c r="A709" s="948"/>
      <c r="B709" s="733"/>
      <c r="C709" s="733"/>
      <c r="D709" s="290" t="s">
        <v>358</v>
      </c>
      <c r="E709" s="291">
        <v>30935200</v>
      </c>
      <c r="F709" s="291">
        <v>12742333</v>
      </c>
      <c r="G709" s="292"/>
      <c r="H709" s="88"/>
      <c r="I709" s="88"/>
      <c r="J709" s="293"/>
      <c r="K709" s="88"/>
      <c r="L709" s="88"/>
      <c r="M709" s="88"/>
      <c r="N709" s="294"/>
      <c r="O709" s="88"/>
      <c r="P709" s="88"/>
      <c r="Q709" s="88"/>
      <c r="R709" s="88"/>
      <c r="S709" s="88"/>
      <c r="T709" s="88"/>
      <c r="U709" s="88"/>
      <c r="V709" s="88"/>
      <c r="W709" s="88"/>
      <c r="X709" s="88"/>
      <c r="Y709" s="88"/>
      <c r="Z709" s="88"/>
      <c r="AA709" s="88"/>
      <c r="AB709" s="88"/>
      <c r="AC709" s="88"/>
      <c r="AD709" s="88"/>
      <c r="AE709" s="88"/>
      <c r="AF709" s="88"/>
      <c r="AG709" s="88"/>
      <c r="AH709" s="88"/>
    </row>
    <row r="710" spans="1:34" ht="69.75" customHeight="1" x14ac:dyDescent="0.25">
      <c r="A710" s="948"/>
      <c r="B710" s="965" t="s">
        <v>967</v>
      </c>
      <c r="C710" s="965" t="s">
        <v>968</v>
      </c>
      <c r="D710" s="295" t="s">
        <v>362</v>
      </c>
      <c r="E710" s="291">
        <v>70434000</v>
      </c>
      <c r="F710" s="291">
        <v>36390900</v>
      </c>
      <c r="G710" s="292"/>
      <c r="H710" s="88"/>
      <c r="I710" s="88"/>
      <c r="J710" s="293"/>
      <c r="K710" s="88"/>
      <c r="L710" s="88"/>
      <c r="M710" s="88"/>
      <c r="N710" s="294"/>
      <c r="O710" s="88"/>
      <c r="P710" s="88"/>
      <c r="Q710" s="88"/>
      <c r="R710" s="88"/>
      <c r="S710" s="88"/>
      <c r="T710" s="88"/>
      <c r="U710" s="88"/>
      <c r="V710" s="88"/>
      <c r="W710" s="88"/>
      <c r="X710" s="88"/>
      <c r="Y710" s="88"/>
      <c r="Z710" s="88"/>
      <c r="AA710" s="88"/>
      <c r="AB710" s="88"/>
      <c r="AC710" s="88"/>
      <c r="AD710" s="88"/>
      <c r="AE710" s="88"/>
      <c r="AF710" s="88"/>
      <c r="AG710" s="88"/>
      <c r="AH710" s="88"/>
    </row>
    <row r="711" spans="1:34" ht="69.75" customHeight="1" x14ac:dyDescent="0.25">
      <c r="A711" s="948"/>
      <c r="B711" s="694"/>
      <c r="C711" s="694"/>
      <c r="D711" s="295" t="s">
        <v>1148</v>
      </c>
      <c r="E711" s="291">
        <v>672748000</v>
      </c>
      <c r="F711" s="291">
        <v>244433501</v>
      </c>
      <c r="G711" s="292"/>
      <c r="H711" s="88"/>
      <c r="I711" s="88"/>
      <c r="J711" s="293"/>
      <c r="K711" s="88"/>
      <c r="L711" s="88"/>
      <c r="M711" s="88"/>
      <c r="N711" s="294"/>
      <c r="O711" s="88"/>
      <c r="P711" s="88"/>
      <c r="Q711" s="88"/>
      <c r="R711" s="88"/>
      <c r="S711" s="88"/>
      <c r="T711" s="88"/>
      <c r="U711" s="88"/>
      <c r="V711" s="88"/>
      <c r="W711" s="88"/>
      <c r="X711" s="88"/>
      <c r="Y711" s="88"/>
      <c r="Z711" s="88"/>
      <c r="AA711" s="88"/>
      <c r="AB711" s="88"/>
      <c r="AC711" s="88"/>
      <c r="AD711" s="88"/>
      <c r="AE711" s="88"/>
      <c r="AF711" s="88"/>
      <c r="AG711" s="88"/>
      <c r="AH711" s="88"/>
    </row>
    <row r="712" spans="1:34" ht="69.75" customHeight="1" x14ac:dyDescent="0.25">
      <c r="A712" s="948"/>
      <c r="B712" s="694"/>
      <c r="C712" s="694"/>
      <c r="D712" s="295" t="s">
        <v>1149</v>
      </c>
      <c r="E712" s="291">
        <v>309585000</v>
      </c>
      <c r="F712" s="299">
        <v>126030233</v>
      </c>
      <c r="G712" s="292"/>
      <c r="H712" s="88"/>
      <c r="I712" s="88"/>
      <c r="J712" s="293"/>
      <c r="K712" s="88"/>
      <c r="L712" s="88"/>
      <c r="M712" s="88"/>
      <c r="N712" s="294"/>
      <c r="O712" s="88"/>
      <c r="P712" s="88"/>
      <c r="Q712" s="88"/>
      <c r="R712" s="88"/>
      <c r="S712" s="88"/>
      <c r="T712" s="88"/>
      <c r="U712" s="88"/>
      <c r="V712" s="88"/>
      <c r="W712" s="88"/>
      <c r="X712" s="88"/>
      <c r="Y712" s="88"/>
      <c r="Z712" s="88"/>
      <c r="AA712" s="88"/>
      <c r="AB712" s="88"/>
      <c r="AC712" s="88"/>
      <c r="AD712" s="88"/>
      <c r="AE712" s="88"/>
      <c r="AF712" s="88"/>
      <c r="AG712" s="88"/>
      <c r="AH712" s="88"/>
    </row>
    <row r="713" spans="1:34" ht="69.75" customHeight="1" x14ac:dyDescent="0.25">
      <c r="A713" s="948"/>
      <c r="B713" s="733"/>
      <c r="C713" s="733"/>
      <c r="D713" s="295" t="s">
        <v>891</v>
      </c>
      <c r="E713" s="296">
        <v>436082000</v>
      </c>
      <c r="F713" s="299">
        <v>177419134</v>
      </c>
      <c r="G713" s="298"/>
      <c r="H713" s="88"/>
      <c r="I713" s="88"/>
      <c r="J713" s="293"/>
      <c r="K713" s="88"/>
      <c r="L713" s="88"/>
      <c r="M713" s="88"/>
      <c r="N713" s="294"/>
      <c r="O713" s="88"/>
      <c r="P713" s="88"/>
      <c r="Q713" s="88"/>
      <c r="R713" s="88"/>
      <c r="S713" s="88"/>
      <c r="T713" s="88"/>
      <c r="U713" s="88"/>
      <c r="V713" s="88"/>
      <c r="W713" s="88"/>
      <c r="X713" s="88"/>
      <c r="Y713" s="88"/>
      <c r="Z713" s="88"/>
      <c r="AA713" s="88"/>
      <c r="AB713" s="88"/>
      <c r="AC713" s="88"/>
      <c r="AD713" s="88"/>
      <c r="AE713" s="88"/>
      <c r="AF713" s="88"/>
      <c r="AG713" s="88"/>
      <c r="AH713" s="88"/>
    </row>
    <row r="714" spans="1:34" ht="69.75" customHeight="1" x14ac:dyDescent="0.25">
      <c r="A714" s="948"/>
      <c r="B714" s="30" t="s">
        <v>971</v>
      </c>
      <c r="C714" s="30" t="s">
        <v>972</v>
      </c>
      <c r="D714" s="295" t="s">
        <v>1150</v>
      </c>
      <c r="E714" s="291">
        <v>289724000</v>
      </c>
      <c r="F714" s="299">
        <v>124344966</v>
      </c>
      <c r="G714" s="292"/>
      <c r="H714" s="88"/>
      <c r="I714" s="88"/>
      <c r="J714" s="293"/>
      <c r="K714" s="88"/>
      <c r="L714" s="88"/>
      <c r="M714" s="88"/>
      <c r="N714" s="294"/>
      <c r="O714" s="88"/>
      <c r="P714" s="88"/>
      <c r="Q714" s="88"/>
      <c r="R714" s="88"/>
      <c r="S714" s="88"/>
      <c r="T714" s="88"/>
      <c r="U714" s="88"/>
      <c r="V714" s="88"/>
      <c r="W714" s="88"/>
      <c r="X714" s="88"/>
      <c r="Y714" s="88"/>
      <c r="Z714" s="88"/>
      <c r="AA714" s="88"/>
      <c r="AB714" s="88"/>
      <c r="AC714" s="88"/>
      <c r="AD714" s="88"/>
      <c r="AE714" s="88"/>
      <c r="AF714" s="88"/>
      <c r="AG714" s="88"/>
      <c r="AH714" s="88"/>
    </row>
    <row r="715" spans="1:34" ht="69.75" customHeight="1" x14ac:dyDescent="0.25">
      <c r="A715" s="953"/>
      <c r="B715" s="30" t="s">
        <v>975</v>
      </c>
      <c r="C715" s="30" t="s">
        <v>976</v>
      </c>
      <c r="D715" s="295" t="s">
        <v>381</v>
      </c>
      <c r="E715" s="291">
        <v>783556000</v>
      </c>
      <c r="F715" s="299">
        <v>167398805</v>
      </c>
      <c r="G715" s="292"/>
      <c r="H715" s="88"/>
      <c r="I715" s="88"/>
      <c r="J715" s="293"/>
      <c r="K715" s="88"/>
      <c r="L715" s="88"/>
      <c r="M715" s="88"/>
      <c r="N715" s="294"/>
      <c r="O715" s="88"/>
      <c r="P715" s="88"/>
      <c r="Q715" s="88"/>
      <c r="R715" s="88"/>
      <c r="S715" s="88"/>
      <c r="T715" s="88"/>
      <c r="U715" s="88"/>
      <c r="V715" s="88"/>
      <c r="W715" s="88"/>
      <c r="X715" s="88"/>
      <c r="Y715" s="88"/>
      <c r="Z715" s="88"/>
      <c r="AA715" s="88"/>
      <c r="AB715" s="88"/>
      <c r="AC715" s="88"/>
      <c r="AD715" s="88"/>
      <c r="AE715" s="88"/>
      <c r="AF715" s="88"/>
      <c r="AG715" s="88"/>
      <c r="AH715" s="88"/>
    </row>
    <row r="716" spans="1:34" ht="69.75" customHeight="1" x14ac:dyDescent="0.25">
      <c r="A716" s="952" t="s">
        <v>933</v>
      </c>
      <c r="B716" s="957" t="s">
        <v>963</v>
      </c>
      <c r="C716" s="957" t="s">
        <v>964</v>
      </c>
      <c r="D716" s="290" t="s">
        <v>344</v>
      </c>
      <c r="E716" s="291">
        <v>1017092400</v>
      </c>
      <c r="F716" s="299">
        <v>533814963.89194524</v>
      </c>
      <c r="G716" s="292"/>
      <c r="H716" s="88"/>
      <c r="I716" s="88"/>
      <c r="J716" s="293"/>
      <c r="K716" s="88"/>
      <c r="L716" s="88"/>
      <c r="M716" s="88"/>
      <c r="N716" s="294"/>
      <c r="O716" s="88"/>
      <c r="P716" s="88"/>
      <c r="Q716" s="88"/>
      <c r="R716" s="88"/>
      <c r="S716" s="88"/>
      <c r="T716" s="88"/>
      <c r="U716" s="88"/>
      <c r="V716" s="88"/>
      <c r="W716" s="88"/>
      <c r="X716" s="88"/>
      <c r="Y716" s="88"/>
      <c r="Z716" s="88"/>
      <c r="AA716" s="88"/>
      <c r="AB716" s="88"/>
      <c r="AC716" s="88"/>
      <c r="AD716" s="88"/>
      <c r="AE716" s="88"/>
      <c r="AF716" s="88"/>
      <c r="AG716" s="88"/>
      <c r="AH716" s="88"/>
    </row>
    <row r="717" spans="1:34" ht="69.75" customHeight="1" x14ac:dyDescent="0.25">
      <c r="A717" s="948"/>
      <c r="B717" s="694"/>
      <c r="C717" s="694"/>
      <c r="D717" s="290" t="s">
        <v>355</v>
      </c>
      <c r="E717" s="291">
        <v>132270000</v>
      </c>
      <c r="F717" s="299">
        <v>95822267</v>
      </c>
      <c r="G717" s="292"/>
      <c r="H717" s="88"/>
      <c r="I717" s="88"/>
      <c r="J717" s="293"/>
      <c r="K717" s="88"/>
      <c r="L717" s="88"/>
      <c r="M717" s="88"/>
      <c r="N717" s="294"/>
      <c r="O717" s="88"/>
      <c r="P717" s="88"/>
      <c r="Q717" s="88"/>
      <c r="R717" s="88"/>
      <c r="S717" s="88"/>
      <c r="T717" s="88"/>
      <c r="U717" s="88"/>
      <c r="V717" s="88"/>
      <c r="W717" s="88"/>
      <c r="X717" s="88"/>
      <c r="Y717" s="88"/>
      <c r="Z717" s="88"/>
      <c r="AA717" s="88"/>
      <c r="AB717" s="88"/>
      <c r="AC717" s="88"/>
      <c r="AD717" s="88"/>
      <c r="AE717" s="88"/>
      <c r="AF717" s="88"/>
      <c r="AG717" s="88"/>
      <c r="AH717" s="88"/>
    </row>
    <row r="718" spans="1:34" ht="69.75" customHeight="1" x14ac:dyDescent="0.25">
      <c r="A718" s="948"/>
      <c r="B718" s="733"/>
      <c r="C718" s="733"/>
      <c r="D718" s="290" t="s">
        <v>358</v>
      </c>
      <c r="E718" s="291">
        <v>30517600</v>
      </c>
      <c r="F718" s="299">
        <v>21772333</v>
      </c>
      <c r="G718" s="292"/>
      <c r="H718" s="88"/>
      <c r="I718" s="88"/>
      <c r="J718" s="293"/>
      <c r="K718" s="88"/>
      <c r="L718" s="88"/>
      <c r="M718" s="88"/>
      <c r="N718" s="294"/>
      <c r="O718" s="88"/>
      <c r="P718" s="88"/>
      <c r="Q718" s="88"/>
      <c r="R718" s="88"/>
      <c r="S718" s="88"/>
      <c r="T718" s="88"/>
      <c r="U718" s="88"/>
      <c r="V718" s="88"/>
      <c r="W718" s="88"/>
      <c r="X718" s="88"/>
      <c r="Y718" s="88"/>
      <c r="Z718" s="88"/>
      <c r="AA718" s="88"/>
      <c r="AB718" s="88"/>
      <c r="AC718" s="88"/>
      <c r="AD718" s="88"/>
      <c r="AE718" s="88"/>
      <c r="AF718" s="88"/>
      <c r="AG718" s="88"/>
      <c r="AH718" s="88"/>
    </row>
    <row r="719" spans="1:34" ht="69.75" customHeight="1" x14ac:dyDescent="0.25">
      <c r="A719" s="948"/>
      <c r="B719" s="965" t="s">
        <v>967</v>
      </c>
      <c r="C719" s="965" t="s">
        <v>968</v>
      </c>
      <c r="D719" s="295" t="s">
        <v>362</v>
      </c>
      <c r="E719" s="291">
        <v>86086000</v>
      </c>
      <c r="F719" s="299">
        <v>59868900</v>
      </c>
      <c r="G719" s="292"/>
      <c r="H719" s="88"/>
      <c r="I719" s="88"/>
      <c r="J719" s="293"/>
      <c r="K719" s="88"/>
      <c r="L719" s="88"/>
      <c r="M719" s="88"/>
      <c r="N719" s="294"/>
      <c r="O719" s="88"/>
      <c r="P719" s="88"/>
      <c r="Q719" s="88"/>
      <c r="R719" s="88"/>
      <c r="S719" s="88"/>
      <c r="T719" s="88"/>
      <c r="U719" s="88"/>
      <c r="V719" s="88"/>
      <c r="W719" s="88"/>
      <c r="X719" s="88"/>
      <c r="Y719" s="88"/>
      <c r="Z719" s="88"/>
      <c r="AA719" s="88"/>
      <c r="AB719" s="88"/>
      <c r="AC719" s="88"/>
      <c r="AD719" s="88"/>
      <c r="AE719" s="88"/>
      <c r="AF719" s="88"/>
      <c r="AG719" s="88"/>
      <c r="AH719" s="88"/>
    </row>
    <row r="720" spans="1:34" ht="69.75" customHeight="1" x14ac:dyDescent="0.25">
      <c r="A720" s="948"/>
      <c r="B720" s="694"/>
      <c r="C720" s="694"/>
      <c r="D720" s="295" t="s">
        <v>1148</v>
      </c>
      <c r="E720" s="291">
        <v>779475438</v>
      </c>
      <c r="F720" s="299">
        <v>452508217.87474829</v>
      </c>
      <c r="G720" s="292"/>
      <c r="H720" s="88"/>
      <c r="I720" s="88"/>
      <c r="J720" s="293"/>
      <c r="K720" s="88"/>
      <c r="L720" s="88"/>
      <c r="M720" s="88"/>
      <c r="N720" s="294"/>
      <c r="O720" s="88"/>
      <c r="P720" s="88"/>
      <c r="Q720" s="88"/>
      <c r="R720" s="88"/>
      <c r="S720" s="88"/>
      <c r="T720" s="88"/>
      <c r="U720" s="88"/>
      <c r="V720" s="88"/>
      <c r="W720" s="88"/>
      <c r="X720" s="88"/>
      <c r="Y720" s="88"/>
      <c r="Z720" s="88"/>
      <c r="AA720" s="88"/>
      <c r="AB720" s="88"/>
      <c r="AC720" s="88"/>
      <c r="AD720" s="88"/>
      <c r="AE720" s="88"/>
      <c r="AF720" s="88"/>
      <c r="AG720" s="88"/>
      <c r="AH720" s="88"/>
    </row>
    <row r="721" spans="1:34" ht="69.75" customHeight="1" x14ac:dyDescent="0.25">
      <c r="A721" s="948"/>
      <c r="B721" s="694"/>
      <c r="C721" s="694"/>
      <c r="D721" s="295" t="s">
        <v>1149</v>
      </c>
      <c r="E721" s="291">
        <v>309028200</v>
      </c>
      <c r="F721" s="299">
        <v>221370466.12525171</v>
      </c>
      <c r="G721" s="292"/>
      <c r="H721" s="88"/>
      <c r="I721" s="88"/>
      <c r="J721" s="293"/>
      <c r="K721" s="88"/>
      <c r="L721" s="88"/>
      <c r="M721" s="88"/>
      <c r="N721" s="294"/>
      <c r="O721" s="88"/>
      <c r="P721" s="88"/>
      <c r="Q721" s="88"/>
      <c r="R721" s="88"/>
      <c r="S721" s="88"/>
      <c r="T721" s="88"/>
      <c r="U721" s="88"/>
      <c r="V721" s="88"/>
      <c r="W721" s="88"/>
      <c r="X721" s="88"/>
      <c r="Y721" s="88"/>
      <c r="Z721" s="88"/>
      <c r="AA721" s="88"/>
      <c r="AB721" s="88"/>
      <c r="AC721" s="88"/>
      <c r="AD721" s="88"/>
      <c r="AE721" s="88"/>
      <c r="AF721" s="88"/>
      <c r="AG721" s="88"/>
      <c r="AH721" s="88"/>
    </row>
    <row r="722" spans="1:34" ht="69.75" customHeight="1" x14ac:dyDescent="0.25">
      <c r="A722" s="948"/>
      <c r="B722" s="733"/>
      <c r="C722" s="733"/>
      <c r="D722" s="295" t="s">
        <v>891</v>
      </c>
      <c r="E722" s="296">
        <v>729282124</v>
      </c>
      <c r="F722" s="299">
        <v>307214967</v>
      </c>
      <c r="G722" s="298"/>
      <c r="H722" s="88"/>
      <c r="I722" s="88"/>
      <c r="J722" s="293"/>
      <c r="K722" s="88"/>
      <c r="L722" s="88"/>
      <c r="M722" s="88"/>
      <c r="N722" s="294"/>
      <c r="O722" s="88"/>
      <c r="P722" s="88"/>
      <c r="Q722" s="88"/>
      <c r="R722" s="88"/>
      <c r="S722" s="88"/>
      <c r="T722" s="88"/>
      <c r="U722" s="88"/>
      <c r="V722" s="88"/>
      <c r="W722" s="88"/>
      <c r="X722" s="88"/>
      <c r="Y722" s="88"/>
      <c r="Z722" s="88"/>
      <c r="AA722" s="88"/>
      <c r="AB722" s="88"/>
      <c r="AC722" s="88"/>
      <c r="AD722" s="88"/>
      <c r="AE722" s="88"/>
      <c r="AF722" s="88"/>
      <c r="AG722" s="88"/>
      <c r="AH722" s="88"/>
    </row>
    <row r="723" spans="1:34" ht="69.75" customHeight="1" x14ac:dyDescent="0.25">
      <c r="A723" s="948"/>
      <c r="B723" s="30" t="s">
        <v>971</v>
      </c>
      <c r="C723" s="30" t="s">
        <v>972</v>
      </c>
      <c r="D723" s="295" t="s">
        <v>1150</v>
      </c>
      <c r="E723" s="291">
        <v>289724000</v>
      </c>
      <c r="F723" s="299">
        <v>217074966</v>
      </c>
      <c r="G723" s="292"/>
      <c r="H723" s="88"/>
      <c r="I723" s="88"/>
      <c r="J723" s="293"/>
      <c r="K723" s="88"/>
      <c r="L723" s="88"/>
      <c r="M723" s="88"/>
      <c r="N723" s="294"/>
      <c r="O723" s="88"/>
      <c r="P723" s="88"/>
      <c r="Q723" s="88"/>
      <c r="R723" s="88"/>
      <c r="S723" s="88"/>
      <c r="T723" s="88"/>
      <c r="U723" s="88"/>
      <c r="V723" s="88"/>
      <c r="W723" s="88"/>
      <c r="X723" s="88"/>
      <c r="Y723" s="88"/>
      <c r="Z723" s="88"/>
      <c r="AA723" s="88"/>
      <c r="AB723" s="88"/>
      <c r="AC723" s="88"/>
      <c r="AD723" s="88"/>
      <c r="AE723" s="88"/>
      <c r="AF723" s="88"/>
      <c r="AG723" s="88"/>
      <c r="AH723" s="88"/>
    </row>
    <row r="724" spans="1:34" ht="69.75" customHeight="1" x14ac:dyDescent="0.25">
      <c r="A724" s="953"/>
      <c r="B724" s="30" t="s">
        <v>975</v>
      </c>
      <c r="C724" s="30" t="s">
        <v>976</v>
      </c>
      <c r="D724" s="295" t="s">
        <v>381</v>
      </c>
      <c r="E724" s="291">
        <v>783556000</v>
      </c>
      <c r="F724" s="299">
        <v>333091918.10805476</v>
      </c>
      <c r="G724" s="292"/>
      <c r="H724" s="88"/>
      <c r="I724" s="88"/>
      <c r="J724" s="293"/>
      <c r="K724" s="88"/>
      <c r="L724" s="88"/>
      <c r="M724" s="88"/>
      <c r="N724" s="294"/>
      <c r="O724" s="88"/>
      <c r="P724" s="88"/>
      <c r="Q724" s="88"/>
      <c r="R724" s="88"/>
      <c r="S724" s="88"/>
      <c r="T724" s="88"/>
      <c r="U724" s="88"/>
      <c r="V724" s="88"/>
      <c r="W724" s="88"/>
      <c r="X724" s="88"/>
      <c r="Y724" s="88"/>
      <c r="Z724" s="88"/>
      <c r="AA724" s="88"/>
      <c r="AB724" s="88"/>
      <c r="AC724" s="88"/>
      <c r="AD724" s="88"/>
      <c r="AE724" s="88"/>
      <c r="AF724" s="88"/>
      <c r="AG724" s="88"/>
      <c r="AH724" s="88"/>
    </row>
    <row r="725" spans="1:34" ht="69.75" customHeight="1" x14ac:dyDescent="0.25">
      <c r="A725" s="952" t="s">
        <v>934</v>
      </c>
      <c r="B725" s="957" t="s">
        <v>963</v>
      </c>
      <c r="C725" s="957" t="s">
        <v>964</v>
      </c>
      <c r="D725" s="290" t="s">
        <v>344</v>
      </c>
      <c r="E725" s="300">
        <v>1038843096</v>
      </c>
      <c r="F725" s="301">
        <v>608367378</v>
      </c>
      <c r="G725" s="292"/>
      <c r="H725" s="88"/>
      <c r="I725" s="88"/>
      <c r="J725" s="293"/>
      <c r="K725" s="88"/>
      <c r="L725" s="88"/>
      <c r="M725" s="88"/>
      <c r="N725" s="294"/>
      <c r="O725" s="88"/>
      <c r="P725" s="88"/>
      <c r="Q725" s="88"/>
      <c r="R725" s="88"/>
      <c r="S725" s="88"/>
      <c r="T725" s="88"/>
      <c r="U725" s="88"/>
      <c r="V725" s="88"/>
      <c r="W725" s="88"/>
      <c r="X725" s="88"/>
      <c r="Y725" s="88"/>
      <c r="Z725" s="88"/>
      <c r="AA725" s="88"/>
      <c r="AB725" s="88"/>
      <c r="AC725" s="88"/>
      <c r="AD725" s="88"/>
      <c r="AE725" s="88"/>
      <c r="AF725" s="88"/>
      <c r="AG725" s="88"/>
      <c r="AH725" s="88"/>
    </row>
    <row r="726" spans="1:34" ht="69.75" customHeight="1" x14ac:dyDescent="0.25">
      <c r="A726" s="948"/>
      <c r="B726" s="694"/>
      <c r="C726" s="694"/>
      <c r="D726" s="290" t="s">
        <v>355</v>
      </c>
      <c r="E726" s="300">
        <v>141088000</v>
      </c>
      <c r="F726" s="301">
        <v>104640267</v>
      </c>
      <c r="G726" s="292"/>
      <c r="H726" s="88"/>
      <c r="I726" s="88"/>
      <c r="J726" s="293"/>
      <c r="K726" s="88"/>
      <c r="L726" s="88"/>
      <c r="M726" s="88"/>
      <c r="N726" s="294"/>
      <c r="O726" s="88"/>
      <c r="P726" s="88"/>
      <c r="Q726" s="88"/>
      <c r="R726" s="88"/>
      <c r="S726" s="88"/>
      <c r="T726" s="88"/>
      <c r="U726" s="88"/>
      <c r="V726" s="88"/>
      <c r="W726" s="88"/>
      <c r="X726" s="88"/>
      <c r="Y726" s="88"/>
      <c r="Z726" s="88"/>
      <c r="AA726" s="88"/>
      <c r="AB726" s="88"/>
      <c r="AC726" s="88"/>
      <c r="AD726" s="88"/>
      <c r="AE726" s="88"/>
      <c r="AF726" s="88"/>
      <c r="AG726" s="88"/>
      <c r="AH726" s="88"/>
    </row>
    <row r="727" spans="1:34" ht="69.75" customHeight="1" x14ac:dyDescent="0.25">
      <c r="A727" s="948"/>
      <c r="B727" s="733"/>
      <c r="C727" s="733"/>
      <c r="D727" s="290" t="s">
        <v>358</v>
      </c>
      <c r="E727" s="300">
        <v>33527600</v>
      </c>
      <c r="F727" s="301">
        <v>24852633</v>
      </c>
      <c r="G727" s="292"/>
      <c r="H727" s="88"/>
      <c r="I727" s="88"/>
      <c r="J727" s="293"/>
      <c r="K727" s="88"/>
      <c r="L727" s="88"/>
      <c r="M727" s="88"/>
      <c r="N727" s="294"/>
      <c r="O727" s="88"/>
      <c r="P727" s="88"/>
      <c r="Q727" s="88"/>
      <c r="R727" s="88"/>
      <c r="S727" s="88"/>
      <c r="T727" s="88"/>
      <c r="U727" s="88"/>
      <c r="V727" s="88"/>
      <c r="W727" s="88"/>
      <c r="X727" s="88"/>
      <c r="Y727" s="88"/>
      <c r="Z727" s="88"/>
      <c r="AA727" s="88"/>
      <c r="AB727" s="88"/>
      <c r="AC727" s="88"/>
      <c r="AD727" s="88"/>
      <c r="AE727" s="88"/>
      <c r="AF727" s="88"/>
      <c r="AG727" s="88"/>
      <c r="AH727" s="88"/>
    </row>
    <row r="728" spans="1:34" ht="69.75" customHeight="1" x14ac:dyDescent="0.25">
      <c r="A728" s="948"/>
      <c r="B728" s="965" t="s">
        <v>967</v>
      </c>
      <c r="C728" s="965" t="s">
        <v>968</v>
      </c>
      <c r="D728" s="295" t="s">
        <v>362</v>
      </c>
      <c r="E728" s="300">
        <v>86086000</v>
      </c>
      <c r="F728" s="301">
        <v>65086233</v>
      </c>
      <c r="G728" s="292"/>
      <c r="H728" s="88"/>
      <c r="I728" s="88"/>
      <c r="J728" s="293"/>
      <c r="K728" s="88"/>
      <c r="L728" s="88"/>
      <c r="M728" s="88"/>
      <c r="N728" s="294"/>
      <c r="O728" s="88"/>
      <c r="P728" s="88"/>
      <c r="Q728" s="88"/>
      <c r="R728" s="88"/>
      <c r="S728" s="88"/>
      <c r="T728" s="88"/>
      <c r="U728" s="88"/>
      <c r="V728" s="88"/>
      <c r="W728" s="88"/>
      <c r="X728" s="88"/>
      <c r="Y728" s="88"/>
      <c r="Z728" s="88"/>
      <c r="AA728" s="88"/>
      <c r="AB728" s="88"/>
      <c r="AC728" s="88"/>
      <c r="AD728" s="88"/>
      <c r="AE728" s="88"/>
      <c r="AF728" s="88"/>
      <c r="AG728" s="88"/>
      <c r="AH728" s="88"/>
    </row>
    <row r="729" spans="1:34" ht="69.75" customHeight="1" x14ac:dyDescent="0.25">
      <c r="A729" s="948"/>
      <c r="B729" s="694"/>
      <c r="C729" s="694"/>
      <c r="D729" s="295" t="s">
        <v>1148</v>
      </c>
      <c r="E729" s="300">
        <v>789292834</v>
      </c>
      <c r="F729" s="301">
        <v>553476513</v>
      </c>
      <c r="G729" s="292"/>
      <c r="H729" s="88"/>
      <c r="I729" s="88"/>
      <c r="J729" s="293"/>
      <c r="K729" s="88"/>
      <c r="L729" s="88"/>
      <c r="M729" s="88"/>
      <c r="N729" s="294"/>
      <c r="O729" s="88"/>
      <c r="P729" s="88"/>
      <c r="Q729" s="88"/>
      <c r="R729" s="88"/>
      <c r="S729" s="88"/>
      <c r="T729" s="88"/>
      <c r="U729" s="88"/>
      <c r="V729" s="88"/>
      <c r="W729" s="88"/>
      <c r="X729" s="88"/>
      <c r="Y729" s="88"/>
      <c r="Z729" s="88"/>
      <c r="AA729" s="88"/>
      <c r="AB729" s="88"/>
      <c r="AC729" s="88"/>
      <c r="AD729" s="88"/>
      <c r="AE729" s="88"/>
      <c r="AF729" s="88"/>
      <c r="AG729" s="88"/>
      <c r="AH729" s="88"/>
    </row>
    <row r="730" spans="1:34" ht="69.75" customHeight="1" x14ac:dyDescent="0.25">
      <c r="A730" s="948"/>
      <c r="B730" s="694"/>
      <c r="C730" s="694"/>
      <c r="D730" s="295" t="s">
        <v>1149</v>
      </c>
      <c r="E730" s="300">
        <v>335963368</v>
      </c>
      <c r="F730" s="301">
        <v>249612518</v>
      </c>
      <c r="G730" s="292"/>
      <c r="H730" s="88"/>
      <c r="I730" s="88"/>
      <c r="J730" s="293"/>
      <c r="K730" s="88"/>
      <c r="L730" s="88"/>
      <c r="M730" s="88"/>
      <c r="N730" s="294"/>
      <c r="O730" s="88"/>
      <c r="P730" s="88"/>
      <c r="Q730" s="88"/>
      <c r="R730" s="88"/>
      <c r="S730" s="88"/>
      <c r="T730" s="88"/>
      <c r="U730" s="88"/>
      <c r="V730" s="88"/>
      <c r="W730" s="88"/>
      <c r="X730" s="88"/>
      <c r="Y730" s="88"/>
      <c r="Z730" s="88"/>
      <c r="AA730" s="88"/>
      <c r="AB730" s="88"/>
      <c r="AC730" s="88"/>
      <c r="AD730" s="88"/>
      <c r="AE730" s="88"/>
      <c r="AF730" s="88"/>
      <c r="AG730" s="88"/>
      <c r="AH730" s="88"/>
    </row>
    <row r="731" spans="1:34" ht="69.75" customHeight="1" x14ac:dyDescent="0.25">
      <c r="A731" s="948"/>
      <c r="B731" s="733"/>
      <c r="C731" s="733"/>
      <c r="D731" s="295" t="s">
        <v>891</v>
      </c>
      <c r="E731" s="302">
        <v>729276096</v>
      </c>
      <c r="F731" s="301">
        <v>345941534</v>
      </c>
      <c r="G731" s="298"/>
      <c r="H731" s="88"/>
      <c r="I731" s="88"/>
      <c r="J731" s="293"/>
      <c r="K731" s="88"/>
      <c r="L731" s="88"/>
      <c r="M731" s="88"/>
      <c r="N731" s="294"/>
      <c r="O731" s="88"/>
      <c r="P731" s="88"/>
      <c r="Q731" s="88"/>
      <c r="R731" s="88"/>
      <c r="S731" s="88"/>
      <c r="T731" s="88"/>
      <c r="U731" s="88"/>
      <c r="V731" s="88"/>
      <c r="W731" s="88"/>
      <c r="X731" s="88"/>
      <c r="Y731" s="88"/>
      <c r="Z731" s="88"/>
      <c r="AA731" s="88"/>
      <c r="AB731" s="88"/>
      <c r="AC731" s="88"/>
      <c r="AD731" s="88"/>
      <c r="AE731" s="88"/>
      <c r="AF731" s="88"/>
      <c r="AG731" s="88"/>
      <c r="AH731" s="88"/>
    </row>
    <row r="732" spans="1:34" ht="69.75" customHeight="1" x14ac:dyDescent="0.25">
      <c r="A732" s="948"/>
      <c r="B732" s="30" t="s">
        <v>971</v>
      </c>
      <c r="C732" s="30" t="s">
        <v>972</v>
      </c>
      <c r="D732" s="295" t="s">
        <v>1150</v>
      </c>
      <c r="E732" s="300">
        <v>322224768</v>
      </c>
      <c r="F732" s="301">
        <v>239662966</v>
      </c>
      <c r="G732" s="292"/>
      <c r="H732" s="88"/>
      <c r="I732" s="88"/>
      <c r="J732" s="293"/>
      <c r="K732" s="88"/>
      <c r="L732" s="88"/>
      <c r="M732" s="88"/>
      <c r="N732" s="294"/>
      <c r="O732" s="88"/>
      <c r="P732" s="88"/>
      <c r="Q732" s="88"/>
      <c r="R732" s="88"/>
      <c r="S732" s="88"/>
      <c r="T732" s="88"/>
      <c r="U732" s="88"/>
      <c r="V732" s="88"/>
      <c r="W732" s="88"/>
      <c r="X732" s="88"/>
      <c r="Y732" s="88"/>
      <c r="Z732" s="88"/>
      <c r="AA732" s="88"/>
      <c r="AB732" s="88"/>
      <c r="AC732" s="88"/>
      <c r="AD732" s="88"/>
      <c r="AE732" s="88"/>
      <c r="AF732" s="88"/>
      <c r="AG732" s="88"/>
      <c r="AH732" s="88"/>
    </row>
    <row r="733" spans="1:34" ht="69.75" customHeight="1" x14ac:dyDescent="0.25">
      <c r="A733" s="953"/>
      <c r="B733" s="30" t="s">
        <v>975</v>
      </c>
      <c r="C733" s="30" t="s">
        <v>976</v>
      </c>
      <c r="D733" s="295" t="s">
        <v>381</v>
      </c>
      <c r="E733" s="300">
        <v>775730000</v>
      </c>
      <c r="F733" s="301">
        <v>372193921</v>
      </c>
      <c r="G733" s="292"/>
      <c r="H733" s="88"/>
      <c r="I733" s="88"/>
      <c r="J733" s="293"/>
      <c r="K733" s="88"/>
      <c r="L733" s="88"/>
      <c r="M733" s="88"/>
      <c r="N733" s="294"/>
      <c r="O733" s="88"/>
      <c r="P733" s="88"/>
      <c r="Q733" s="88"/>
      <c r="R733" s="88"/>
      <c r="S733" s="88"/>
      <c r="T733" s="88"/>
      <c r="U733" s="88"/>
      <c r="V733" s="88"/>
      <c r="W733" s="88"/>
      <c r="X733" s="88"/>
      <c r="Y733" s="88"/>
      <c r="Z733" s="88"/>
      <c r="AA733" s="88"/>
      <c r="AB733" s="88"/>
      <c r="AC733" s="88"/>
      <c r="AD733" s="88"/>
      <c r="AE733" s="88"/>
      <c r="AF733" s="88"/>
      <c r="AG733" s="88"/>
      <c r="AH733" s="88"/>
    </row>
    <row r="734" spans="1:34" ht="69.75" customHeight="1" x14ac:dyDescent="0.25">
      <c r="A734" s="952" t="s">
        <v>936</v>
      </c>
      <c r="B734" s="957" t="s">
        <v>963</v>
      </c>
      <c r="C734" s="957" t="s">
        <v>964</v>
      </c>
      <c r="D734" s="290" t="s">
        <v>344</v>
      </c>
      <c r="E734" s="300">
        <v>1038843096</v>
      </c>
      <c r="F734" s="301">
        <v>684597719</v>
      </c>
      <c r="G734" s="292"/>
      <c r="H734" s="88"/>
      <c r="I734" s="88"/>
      <c r="J734" s="293"/>
      <c r="K734" s="88"/>
      <c r="L734" s="88"/>
      <c r="M734" s="88"/>
      <c r="N734" s="294"/>
      <c r="O734" s="88"/>
      <c r="P734" s="88"/>
      <c r="Q734" s="88"/>
      <c r="R734" s="88"/>
      <c r="S734" s="88"/>
      <c r="T734" s="88"/>
      <c r="U734" s="88"/>
      <c r="V734" s="88"/>
      <c r="W734" s="88"/>
      <c r="X734" s="88"/>
      <c r="Y734" s="88"/>
      <c r="Z734" s="88"/>
      <c r="AA734" s="88"/>
      <c r="AB734" s="88"/>
      <c r="AC734" s="88"/>
      <c r="AD734" s="88"/>
      <c r="AE734" s="88"/>
      <c r="AF734" s="88"/>
      <c r="AG734" s="88"/>
      <c r="AH734" s="88"/>
    </row>
    <row r="735" spans="1:34" ht="69.75" customHeight="1" x14ac:dyDescent="0.25">
      <c r="A735" s="948"/>
      <c r="B735" s="694"/>
      <c r="C735" s="694"/>
      <c r="D735" s="290" t="s">
        <v>355</v>
      </c>
      <c r="E735" s="300">
        <v>141088000</v>
      </c>
      <c r="F735" s="301">
        <v>117867267</v>
      </c>
      <c r="G735" s="292"/>
      <c r="H735" s="88"/>
      <c r="I735" s="88"/>
      <c r="J735" s="293"/>
      <c r="K735" s="88"/>
      <c r="L735" s="88"/>
      <c r="M735" s="88"/>
      <c r="N735" s="294"/>
      <c r="O735" s="88"/>
      <c r="P735" s="88"/>
      <c r="Q735" s="88"/>
      <c r="R735" s="88"/>
      <c r="S735" s="88"/>
      <c r="T735" s="88"/>
      <c r="U735" s="88"/>
      <c r="V735" s="88"/>
      <c r="W735" s="88"/>
      <c r="X735" s="88"/>
      <c r="Y735" s="88"/>
      <c r="Z735" s="88"/>
      <c r="AA735" s="88"/>
      <c r="AB735" s="88"/>
      <c r="AC735" s="88"/>
      <c r="AD735" s="88"/>
      <c r="AE735" s="88"/>
      <c r="AF735" s="88"/>
      <c r="AG735" s="88"/>
      <c r="AH735" s="88"/>
    </row>
    <row r="736" spans="1:34" ht="69.75" customHeight="1" x14ac:dyDescent="0.25">
      <c r="A736" s="948"/>
      <c r="B736" s="733"/>
      <c r="C736" s="733"/>
      <c r="D736" s="290" t="s">
        <v>358</v>
      </c>
      <c r="E736" s="300">
        <v>33527600</v>
      </c>
      <c r="F736" s="301">
        <v>27932483</v>
      </c>
      <c r="G736" s="292"/>
      <c r="H736" s="88"/>
      <c r="I736" s="88"/>
      <c r="J736" s="293"/>
      <c r="K736" s="88"/>
      <c r="L736" s="88"/>
      <c r="M736" s="88"/>
      <c r="N736" s="294"/>
      <c r="O736" s="88"/>
      <c r="P736" s="88"/>
      <c r="Q736" s="88"/>
      <c r="R736" s="88"/>
      <c r="S736" s="88"/>
      <c r="T736" s="88"/>
      <c r="U736" s="88"/>
      <c r="V736" s="88"/>
      <c r="W736" s="88"/>
      <c r="X736" s="88"/>
      <c r="Y736" s="88"/>
      <c r="Z736" s="88"/>
      <c r="AA736" s="88"/>
      <c r="AB736" s="88"/>
      <c r="AC736" s="88"/>
      <c r="AD736" s="88"/>
      <c r="AE736" s="88"/>
      <c r="AF736" s="88"/>
      <c r="AG736" s="88"/>
      <c r="AH736" s="88"/>
    </row>
    <row r="737" spans="1:34" ht="69.75" customHeight="1" x14ac:dyDescent="0.25">
      <c r="A737" s="948"/>
      <c r="B737" s="965" t="s">
        <v>967</v>
      </c>
      <c r="C737" s="965" t="s">
        <v>968</v>
      </c>
      <c r="D737" s="295" t="s">
        <v>362</v>
      </c>
      <c r="E737" s="300">
        <v>86086000</v>
      </c>
      <c r="F737" s="301">
        <v>71216600</v>
      </c>
      <c r="G737" s="292"/>
      <c r="H737" s="88"/>
      <c r="I737" s="88"/>
      <c r="J737" s="293"/>
      <c r="K737" s="88"/>
      <c r="L737" s="88"/>
      <c r="M737" s="88"/>
      <c r="N737" s="294"/>
      <c r="O737" s="88"/>
      <c r="P737" s="88"/>
      <c r="Q737" s="88"/>
      <c r="R737" s="88"/>
      <c r="S737" s="88"/>
      <c r="T737" s="88"/>
      <c r="U737" s="88"/>
      <c r="V737" s="88"/>
      <c r="W737" s="88"/>
      <c r="X737" s="88"/>
      <c r="Y737" s="88"/>
      <c r="Z737" s="88"/>
      <c r="AA737" s="88"/>
      <c r="AB737" s="88"/>
      <c r="AC737" s="88"/>
      <c r="AD737" s="88"/>
      <c r="AE737" s="88"/>
      <c r="AF737" s="88"/>
      <c r="AG737" s="88"/>
      <c r="AH737" s="88"/>
    </row>
    <row r="738" spans="1:34" ht="69.75" customHeight="1" x14ac:dyDescent="0.25">
      <c r="A738" s="948"/>
      <c r="B738" s="694"/>
      <c r="C738" s="694"/>
      <c r="D738" s="295" t="s">
        <v>1148</v>
      </c>
      <c r="E738" s="300">
        <v>789292834</v>
      </c>
      <c r="F738" s="301">
        <v>636049513</v>
      </c>
      <c r="G738" s="292"/>
      <c r="H738" s="88"/>
      <c r="I738" s="88"/>
      <c r="J738" s="293"/>
      <c r="K738" s="88"/>
      <c r="L738" s="88"/>
      <c r="M738" s="88"/>
      <c r="N738" s="294"/>
      <c r="O738" s="88"/>
      <c r="P738" s="88"/>
      <c r="Q738" s="88"/>
      <c r="R738" s="88"/>
      <c r="S738" s="88"/>
      <c r="T738" s="88"/>
      <c r="U738" s="88"/>
      <c r="V738" s="88"/>
      <c r="W738" s="88"/>
      <c r="X738" s="88"/>
      <c r="Y738" s="88"/>
      <c r="Z738" s="88"/>
      <c r="AA738" s="88"/>
      <c r="AB738" s="88"/>
      <c r="AC738" s="88"/>
      <c r="AD738" s="88"/>
      <c r="AE738" s="88"/>
      <c r="AF738" s="88"/>
      <c r="AG738" s="88"/>
      <c r="AH738" s="88"/>
    </row>
    <row r="739" spans="1:34" ht="69.75" customHeight="1" x14ac:dyDescent="0.25">
      <c r="A739" s="948"/>
      <c r="B739" s="694"/>
      <c r="C739" s="694"/>
      <c r="D739" s="295" t="s">
        <v>1149</v>
      </c>
      <c r="E739" s="300">
        <v>335963368</v>
      </c>
      <c r="F739" s="301">
        <v>277123018</v>
      </c>
      <c r="G739" s="292"/>
      <c r="H739" s="88"/>
      <c r="I739" s="88"/>
      <c r="J739" s="293"/>
      <c r="K739" s="88"/>
      <c r="L739" s="88"/>
      <c r="M739" s="88"/>
      <c r="N739" s="294"/>
      <c r="O739" s="88"/>
      <c r="P739" s="88"/>
      <c r="Q739" s="88"/>
      <c r="R739" s="88"/>
      <c r="S739" s="88"/>
      <c r="T739" s="88"/>
      <c r="U739" s="88"/>
      <c r="V739" s="88"/>
      <c r="W739" s="88"/>
      <c r="X739" s="88"/>
      <c r="Y739" s="88"/>
      <c r="Z739" s="88"/>
      <c r="AA739" s="88"/>
      <c r="AB739" s="88"/>
      <c r="AC739" s="88"/>
      <c r="AD739" s="88"/>
      <c r="AE739" s="88"/>
      <c r="AF739" s="88"/>
      <c r="AG739" s="88"/>
      <c r="AH739" s="88"/>
    </row>
    <row r="740" spans="1:34" ht="69.75" customHeight="1" x14ac:dyDescent="0.25">
      <c r="A740" s="948"/>
      <c r="B740" s="733"/>
      <c r="C740" s="733"/>
      <c r="D740" s="295" t="s">
        <v>891</v>
      </c>
      <c r="E740" s="302">
        <v>729276096</v>
      </c>
      <c r="F740" s="301">
        <v>393648367</v>
      </c>
      <c r="G740" s="298"/>
      <c r="H740" s="88"/>
      <c r="I740" s="88"/>
      <c r="J740" s="293"/>
      <c r="K740" s="88"/>
      <c r="L740" s="88"/>
      <c r="M740" s="88"/>
      <c r="N740" s="294"/>
      <c r="O740" s="88"/>
      <c r="P740" s="88"/>
      <c r="Q740" s="88"/>
      <c r="R740" s="88"/>
      <c r="S740" s="88"/>
      <c r="T740" s="88"/>
      <c r="U740" s="88"/>
      <c r="V740" s="88"/>
      <c r="W740" s="88"/>
      <c r="X740" s="88"/>
      <c r="Y740" s="88"/>
      <c r="Z740" s="88"/>
      <c r="AA740" s="88"/>
      <c r="AB740" s="88"/>
      <c r="AC740" s="88"/>
      <c r="AD740" s="88"/>
      <c r="AE740" s="88"/>
      <c r="AF740" s="88"/>
      <c r="AG740" s="88"/>
      <c r="AH740" s="88"/>
    </row>
    <row r="741" spans="1:34" ht="69.75" customHeight="1" x14ac:dyDescent="0.25">
      <c r="A741" s="948"/>
      <c r="B741" s="30" t="s">
        <v>971</v>
      </c>
      <c r="C741" s="30" t="s">
        <v>972</v>
      </c>
      <c r="D741" s="295" t="s">
        <v>1150</v>
      </c>
      <c r="E741" s="300">
        <v>322224768</v>
      </c>
      <c r="F741" s="301">
        <v>268335400</v>
      </c>
      <c r="G741" s="292"/>
      <c r="H741" s="88"/>
      <c r="I741" s="88"/>
      <c r="J741" s="293"/>
      <c r="K741" s="88"/>
      <c r="L741" s="88"/>
      <c r="M741" s="88"/>
      <c r="N741" s="294"/>
      <c r="O741" s="88"/>
      <c r="P741" s="88"/>
      <c r="Q741" s="88"/>
      <c r="R741" s="88"/>
      <c r="S741" s="88"/>
      <c r="T741" s="88"/>
      <c r="U741" s="88"/>
      <c r="V741" s="88"/>
      <c r="W741" s="88"/>
      <c r="X741" s="88"/>
      <c r="Y741" s="88"/>
      <c r="Z741" s="88"/>
      <c r="AA741" s="88"/>
      <c r="AB741" s="88"/>
      <c r="AC741" s="88"/>
      <c r="AD741" s="88"/>
      <c r="AE741" s="88"/>
      <c r="AF741" s="88"/>
      <c r="AG741" s="88"/>
      <c r="AH741" s="88"/>
    </row>
    <row r="742" spans="1:34" ht="69.75" customHeight="1" x14ac:dyDescent="0.25">
      <c r="A742" s="953"/>
      <c r="B742" s="30" t="s">
        <v>975</v>
      </c>
      <c r="C742" s="30" t="s">
        <v>976</v>
      </c>
      <c r="D742" s="295" t="s">
        <v>381</v>
      </c>
      <c r="E742" s="300">
        <v>775730000</v>
      </c>
      <c r="F742" s="301">
        <v>428558828</v>
      </c>
      <c r="G742" s="292"/>
      <c r="H742" s="88"/>
      <c r="I742" s="88"/>
      <c r="J742" s="293"/>
      <c r="K742" s="88"/>
      <c r="L742" s="88"/>
      <c r="M742" s="88"/>
      <c r="N742" s="294"/>
      <c r="O742" s="88"/>
      <c r="P742" s="88"/>
      <c r="Q742" s="88"/>
      <c r="R742" s="88"/>
      <c r="S742" s="88"/>
      <c r="T742" s="88"/>
      <c r="U742" s="88"/>
      <c r="V742" s="88"/>
      <c r="W742" s="88"/>
      <c r="X742" s="88"/>
      <c r="Y742" s="88"/>
      <c r="Z742" s="88"/>
      <c r="AA742" s="88"/>
      <c r="AB742" s="88"/>
      <c r="AC742" s="88"/>
      <c r="AD742" s="88"/>
      <c r="AE742" s="88"/>
      <c r="AF742" s="88"/>
      <c r="AG742" s="88"/>
      <c r="AH742" s="88"/>
    </row>
    <row r="743" spans="1:34" ht="69.75" customHeight="1" x14ac:dyDescent="0.25">
      <c r="A743" s="952" t="s">
        <v>940</v>
      </c>
      <c r="B743" s="957" t="s">
        <v>963</v>
      </c>
      <c r="C743" s="957" t="s">
        <v>964</v>
      </c>
      <c r="D743" s="290" t="s">
        <v>344</v>
      </c>
      <c r="E743" s="300">
        <v>825557000</v>
      </c>
      <c r="F743" s="301">
        <v>0</v>
      </c>
      <c r="G743" s="292"/>
      <c r="H743" s="88"/>
      <c r="I743" s="88"/>
      <c r="J743" s="293"/>
      <c r="K743" s="88"/>
      <c r="L743" s="88"/>
      <c r="M743" s="88"/>
      <c r="N743" s="294"/>
      <c r="O743" s="88"/>
      <c r="P743" s="88"/>
      <c r="Q743" s="88"/>
      <c r="R743" s="88"/>
      <c r="S743" s="88"/>
      <c r="T743" s="88"/>
      <c r="U743" s="88"/>
      <c r="V743" s="88"/>
      <c r="W743" s="88"/>
      <c r="X743" s="88"/>
      <c r="Y743" s="88"/>
      <c r="Z743" s="88"/>
      <c r="AA743" s="88"/>
      <c r="AB743" s="88"/>
      <c r="AC743" s="88"/>
      <c r="AD743" s="88"/>
      <c r="AE743" s="88"/>
      <c r="AF743" s="88"/>
      <c r="AG743" s="88"/>
      <c r="AH743" s="88"/>
    </row>
    <row r="744" spans="1:34" ht="69.75" customHeight="1" x14ac:dyDescent="0.25">
      <c r="A744" s="948"/>
      <c r="B744" s="694"/>
      <c r="C744" s="694"/>
      <c r="D744" s="290" t="s">
        <v>355</v>
      </c>
      <c r="E744" s="300">
        <v>180497000</v>
      </c>
      <c r="F744" s="301">
        <v>0</v>
      </c>
      <c r="G744" s="292"/>
      <c r="H744" s="88"/>
      <c r="I744" s="88"/>
      <c r="J744" s="293"/>
      <c r="K744" s="88"/>
      <c r="L744" s="88"/>
      <c r="M744" s="88"/>
      <c r="N744" s="294"/>
      <c r="O744" s="88"/>
      <c r="P744" s="88"/>
      <c r="Q744" s="88"/>
      <c r="R744" s="88"/>
      <c r="S744" s="88"/>
      <c r="T744" s="88"/>
      <c r="U744" s="88"/>
      <c r="V744" s="88"/>
      <c r="W744" s="88"/>
      <c r="X744" s="88"/>
      <c r="Y744" s="88"/>
      <c r="Z744" s="88"/>
      <c r="AA744" s="88"/>
      <c r="AB744" s="88"/>
      <c r="AC744" s="88"/>
      <c r="AD744" s="88"/>
      <c r="AE744" s="88"/>
      <c r="AF744" s="88"/>
      <c r="AG744" s="88"/>
      <c r="AH744" s="88"/>
    </row>
    <row r="745" spans="1:34" ht="69.75" customHeight="1" x14ac:dyDescent="0.25">
      <c r="A745" s="948"/>
      <c r="B745" s="733"/>
      <c r="C745" s="733"/>
      <c r="D745" s="290" t="s">
        <v>358</v>
      </c>
      <c r="E745" s="300">
        <v>33110000</v>
      </c>
      <c r="F745" s="301">
        <v>0</v>
      </c>
      <c r="G745" s="292"/>
      <c r="H745" s="88"/>
      <c r="I745" s="88"/>
      <c r="J745" s="293"/>
      <c r="K745" s="88"/>
      <c r="L745" s="88"/>
      <c r="M745" s="88"/>
      <c r="N745" s="294"/>
      <c r="O745" s="88"/>
      <c r="P745" s="88"/>
      <c r="Q745" s="88"/>
      <c r="R745" s="88"/>
      <c r="S745" s="88"/>
      <c r="T745" s="88"/>
      <c r="U745" s="88"/>
      <c r="V745" s="88"/>
      <c r="W745" s="88"/>
      <c r="X745" s="88"/>
      <c r="Y745" s="88"/>
      <c r="Z745" s="88"/>
      <c r="AA745" s="88"/>
      <c r="AB745" s="88"/>
      <c r="AC745" s="88"/>
      <c r="AD745" s="88"/>
      <c r="AE745" s="88"/>
      <c r="AF745" s="88"/>
      <c r="AG745" s="88"/>
      <c r="AH745" s="88"/>
    </row>
    <row r="746" spans="1:34" ht="69.75" customHeight="1" x14ac:dyDescent="0.25">
      <c r="A746" s="948"/>
      <c r="B746" s="965" t="s">
        <v>967</v>
      </c>
      <c r="C746" s="965" t="s">
        <v>968</v>
      </c>
      <c r="D746" s="295" t="s">
        <v>362</v>
      </c>
      <c r="E746" s="300">
        <v>86086000</v>
      </c>
      <c r="F746" s="301">
        <v>0</v>
      </c>
      <c r="G746" s="292"/>
      <c r="H746" s="88"/>
      <c r="I746" s="88"/>
      <c r="J746" s="293"/>
      <c r="K746" s="88"/>
      <c r="L746" s="88"/>
      <c r="M746" s="88"/>
      <c r="N746" s="294"/>
      <c r="O746" s="88"/>
      <c r="P746" s="88"/>
      <c r="Q746" s="88"/>
      <c r="R746" s="88"/>
      <c r="S746" s="88"/>
      <c r="T746" s="88"/>
      <c r="U746" s="88"/>
      <c r="V746" s="88"/>
      <c r="W746" s="88"/>
      <c r="X746" s="88"/>
      <c r="Y746" s="88"/>
      <c r="Z746" s="88"/>
      <c r="AA746" s="88"/>
      <c r="AB746" s="88"/>
      <c r="AC746" s="88"/>
      <c r="AD746" s="88"/>
      <c r="AE746" s="88"/>
      <c r="AF746" s="88"/>
      <c r="AG746" s="88"/>
      <c r="AH746" s="88"/>
    </row>
    <row r="747" spans="1:34" ht="69.75" customHeight="1" x14ac:dyDescent="0.25">
      <c r="A747" s="948"/>
      <c r="B747" s="694"/>
      <c r="C747" s="694"/>
      <c r="D747" s="295" t="s">
        <v>1148</v>
      </c>
      <c r="E747" s="300">
        <v>930550000</v>
      </c>
      <c r="F747" s="301">
        <v>0</v>
      </c>
      <c r="G747" s="292"/>
      <c r="H747" s="88"/>
      <c r="I747" s="88"/>
      <c r="J747" s="293"/>
      <c r="K747" s="88"/>
      <c r="L747" s="88"/>
      <c r="M747" s="88"/>
      <c r="N747" s="294"/>
      <c r="O747" s="88"/>
      <c r="P747" s="88"/>
      <c r="Q747" s="88"/>
      <c r="R747" s="88"/>
      <c r="S747" s="88"/>
      <c r="T747" s="88"/>
      <c r="U747" s="88"/>
      <c r="V747" s="88"/>
      <c r="W747" s="88"/>
      <c r="X747" s="88"/>
      <c r="Y747" s="88"/>
      <c r="Z747" s="88"/>
      <c r="AA747" s="88"/>
      <c r="AB747" s="88"/>
      <c r="AC747" s="88"/>
      <c r="AD747" s="88"/>
      <c r="AE747" s="88"/>
      <c r="AF747" s="88"/>
      <c r="AG747" s="88"/>
      <c r="AH747" s="88"/>
    </row>
    <row r="748" spans="1:34" ht="69.75" customHeight="1" x14ac:dyDescent="0.25">
      <c r="A748" s="948"/>
      <c r="B748" s="694"/>
      <c r="C748" s="694"/>
      <c r="D748" s="295" t="s">
        <v>1149</v>
      </c>
      <c r="E748" s="300">
        <v>360437000</v>
      </c>
      <c r="F748" s="301">
        <v>0</v>
      </c>
      <c r="G748" s="292"/>
      <c r="H748" s="88"/>
      <c r="I748" s="88"/>
      <c r="J748" s="293"/>
      <c r="K748" s="88"/>
      <c r="L748" s="88"/>
      <c r="M748" s="88"/>
      <c r="N748" s="294"/>
      <c r="O748" s="88"/>
      <c r="P748" s="88"/>
      <c r="Q748" s="88"/>
      <c r="R748" s="88"/>
      <c r="S748" s="88"/>
      <c r="T748" s="88"/>
      <c r="U748" s="88"/>
      <c r="V748" s="88"/>
      <c r="W748" s="88"/>
      <c r="X748" s="88"/>
      <c r="Y748" s="88"/>
      <c r="Z748" s="88"/>
      <c r="AA748" s="88"/>
      <c r="AB748" s="88"/>
      <c r="AC748" s="88"/>
      <c r="AD748" s="88"/>
      <c r="AE748" s="88"/>
      <c r="AF748" s="88"/>
      <c r="AG748" s="88"/>
      <c r="AH748" s="88"/>
    </row>
    <row r="749" spans="1:34" ht="69.75" customHeight="1" x14ac:dyDescent="0.25">
      <c r="A749" s="948"/>
      <c r="B749" s="733"/>
      <c r="C749" s="733"/>
      <c r="D749" s="295" t="s">
        <v>891</v>
      </c>
      <c r="E749" s="302">
        <v>1275635000</v>
      </c>
      <c r="F749" s="301">
        <v>0</v>
      </c>
      <c r="G749" s="298"/>
      <c r="H749" s="88"/>
      <c r="I749" s="88"/>
      <c r="J749" s="293"/>
      <c r="K749" s="88"/>
      <c r="L749" s="88"/>
      <c r="M749" s="88"/>
      <c r="N749" s="294"/>
      <c r="O749" s="88"/>
      <c r="P749" s="88"/>
      <c r="Q749" s="88"/>
      <c r="R749" s="88"/>
      <c r="S749" s="88"/>
      <c r="T749" s="88"/>
      <c r="U749" s="88"/>
      <c r="V749" s="88"/>
      <c r="W749" s="88"/>
      <c r="X749" s="88"/>
      <c r="Y749" s="88"/>
      <c r="Z749" s="88"/>
      <c r="AA749" s="88"/>
      <c r="AB749" s="88"/>
      <c r="AC749" s="88"/>
      <c r="AD749" s="88"/>
      <c r="AE749" s="88"/>
      <c r="AF749" s="88"/>
      <c r="AG749" s="88"/>
      <c r="AH749" s="88"/>
    </row>
    <row r="750" spans="1:34" ht="69.75" customHeight="1" x14ac:dyDescent="0.25">
      <c r="A750" s="948"/>
      <c r="B750" s="30" t="s">
        <v>971</v>
      </c>
      <c r="C750" s="30" t="s">
        <v>972</v>
      </c>
      <c r="D750" s="295" t="s">
        <v>1150</v>
      </c>
      <c r="E750" s="300">
        <v>370000000</v>
      </c>
      <c r="F750" s="301">
        <v>0</v>
      </c>
      <c r="G750" s="292"/>
      <c r="H750" s="88"/>
      <c r="I750" s="88"/>
      <c r="J750" s="293"/>
      <c r="K750" s="88"/>
      <c r="L750" s="88"/>
      <c r="M750" s="88"/>
      <c r="N750" s="294"/>
      <c r="O750" s="88"/>
      <c r="P750" s="88"/>
      <c r="Q750" s="88"/>
      <c r="R750" s="88"/>
      <c r="S750" s="88"/>
      <c r="T750" s="88"/>
      <c r="U750" s="88"/>
      <c r="V750" s="88"/>
      <c r="W750" s="88"/>
      <c r="X750" s="88"/>
      <c r="Y750" s="88"/>
      <c r="Z750" s="88"/>
      <c r="AA750" s="88"/>
      <c r="AB750" s="88"/>
      <c r="AC750" s="88"/>
      <c r="AD750" s="88"/>
      <c r="AE750" s="88"/>
      <c r="AF750" s="88"/>
      <c r="AG750" s="88"/>
      <c r="AH750" s="88"/>
    </row>
    <row r="751" spans="1:34" ht="69.75" customHeight="1" x14ac:dyDescent="0.25">
      <c r="A751" s="953"/>
      <c r="B751" s="30" t="s">
        <v>975</v>
      </c>
      <c r="C751" s="30" t="s">
        <v>976</v>
      </c>
      <c r="D751" s="295" t="s">
        <v>381</v>
      </c>
      <c r="E751" s="300">
        <v>783421000</v>
      </c>
      <c r="F751" s="301">
        <v>0</v>
      </c>
      <c r="G751" s="292"/>
      <c r="H751" s="88"/>
      <c r="I751" s="88"/>
      <c r="J751" s="293"/>
      <c r="K751" s="88"/>
      <c r="L751" s="88"/>
      <c r="M751" s="88"/>
      <c r="N751" s="294"/>
      <c r="O751" s="88"/>
      <c r="P751" s="88"/>
      <c r="Q751" s="88"/>
      <c r="R751" s="88"/>
      <c r="S751" s="88"/>
      <c r="T751" s="88"/>
      <c r="U751" s="88"/>
      <c r="V751" s="88"/>
      <c r="W751" s="88"/>
      <c r="X751" s="88"/>
      <c r="Y751" s="88"/>
      <c r="Z751" s="88"/>
      <c r="AA751" s="88"/>
      <c r="AB751" s="88"/>
      <c r="AC751" s="88"/>
      <c r="AD751" s="88"/>
      <c r="AE751" s="88"/>
      <c r="AF751" s="88"/>
      <c r="AG751" s="88"/>
      <c r="AH751" s="88"/>
    </row>
    <row r="752" spans="1:34" ht="69.75" customHeight="1" x14ac:dyDescent="0.25">
      <c r="A752" s="952" t="s">
        <v>941</v>
      </c>
      <c r="B752" s="957" t="s">
        <v>963</v>
      </c>
      <c r="C752" s="957" t="s">
        <v>964</v>
      </c>
      <c r="D752" s="290" t="s">
        <v>344</v>
      </c>
      <c r="E752" s="300">
        <v>825557000</v>
      </c>
      <c r="F752" s="301">
        <v>28632200</v>
      </c>
      <c r="G752" s="292"/>
      <c r="H752" s="88"/>
      <c r="I752" s="88"/>
      <c r="J752" s="293"/>
      <c r="K752" s="88"/>
      <c r="L752" s="88"/>
      <c r="M752" s="88"/>
      <c r="N752" s="294"/>
      <c r="O752" s="88"/>
      <c r="P752" s="88"/>
      <c r="Q752" s="88"/>
      <c r="R752" s="88"/>
      <c r="S752" s="88"/>
      <c r="T752" s="88"/>
      <c r="U752" s="88"/>
      <c r="V752" s="88"/>
      <c r="W752" s="88"/>
      <c r="X752" s="88"/>
      <c r="Y752" s="88"/>
      <c r="Z752" s="88"/>
      <c r="AA752" s="88"/>
      <c r="AB752" s="88"/>
      <c r="AC752" s="88"/>
      <c r="AD752" s="88"/>
      <c r="AE752" s="88"/>
      <c r="AF752" s="88"/>
      <c r="AG752" s="88"/>
      <c r="AH752" s="88"/>
    </row>
    <row r="753" spans="1:34" ht="69.75" customHeight="1" x14ac:dyDescent="0.25">
      <c r="A753" s="948"/>
      <c r="B753" s="694"/>
      <c r="C753" s="694"/>
      <c r="D753" s="290" t="s">
        <v>355</v>
      </c>
      <c r="E753" s="300">
        <v>180497000</v>
      </c>
      <c r="F753" s="301">
        <v>0</v>
      </c>
      <c r="G753" s="292"/>
      <c r="H753" s="88"/>
      <c r="I753" s="88"/>
      <c r="J753" s="293"/>
      <c r="K753" s="88"/>
      <c r="L753" s="88"/>
      <c r="M753" s="88"/>
      <c r="N753" s="294"/>
      <c r="O753" s="88"/>
      <c r="P753" s="88"/>
      <c r="Q753" s="88"/>
      <c r="R753" s="88"/>
      <c r="S753" s="88"/>
      <c r="T753" s="88"/>
      <c r="U753" s="88"/>
      <c r="V753" s="88"/>
      <c r="W753" s="88"/>
      <c r="X753" s="88"/>
      <c r="Y753" s="88"/>
      <c r="Z753" s="88"/>
      <c r="AA753" s="88"/>
      <c r="AB753" s="88"/>
      <c r="AC753" s="88"/>
      <c r="AD753" s="88"/>
      <c r="AE753" s="88"/>
      <c r="AF753" s="88"/>
      <c r="AG753" s="88"/>
      <c r="AH753" s="88"/>
    </row>
    <row r="754" spans="1:34" ht="69.75" customHeight="1" x14ac:dyDescent="0.25">
      <c r="A754" s="948"/>
      <c r="B754" s="733"/>
      <c r="C754" s="733"/>
      <c r="D754" s="290" t="s">
        <v>358</v>
      </c>
      <c r="E754" s="300">
        <v>33110000</v>
      </c>
      <c r="F754" s="301">
        <v>2809333</v>
      </c>
      <c r="G754" s="292"/>
      <c r="H754" s="88"/>
      <c r="I754" s="88"/>
      <c r="J754" s="293"/>
      <c r="K754" s="88"/>
      <c r="L754" s="88"/>
      <c r="M754" s="88"/>
      <c r="N754" s="294"/>
      <c r="O754" s="88"/>
      <c r="P754" s="88"/>
      <c r="Q754" s="88"/>
      <c r="R754" s="88"/>
      <c r="S754" s="88"/>
      <c r="T754" s="88"/>
      <c r="U754" s="88"/>
      <c r="V754" s="88"/>
      <c r="W754" s="88"/>
      <c r="X754" s="88"/>
      <c r="Y754" s="88"/>
      <c r="Z754" s="88"/>
      <c r="AA754" s="88"/>
      <c r="AB754" s="88"/>
      <c r="AC754" s="88"/>
      <c r="AD754" s="88"/>
      <c r="AE754" s="88"/>
      <c r="AF754" s="88"/>
      <c r="AG754" s="88"/>
      <c r="AH754" s="88"/>
    </row>
    <row r="755" spans="1:34" ht="69.75" customHeight="1" x14ac:dyDescent="0.25">
      <c r="A755" s="948"/>
      <c r="B755" s="965" t="s">
        <v>967</v>
      </c>
      <c r="C755" s="965" t="s">
        <v>968</v>
      </c>
      <c r="D755" s="295" t="s">
        <v>362</v>
      </c>
      <c r="E755" s="300">
        <v>86086000</v>
      </c>
      <c r="F755" s="301">
        <v>5086900</v>
      </c>
      <c r="G755" s="292"/>
      <c r="H755" s="88"/>
      <c r="I755" s="88"/>
      <c r="J755" s="293"/>
      <c r="K755" s="88"/>
      <c r="L755" s="88"/>
      <c r="M755" s="88"/>
      <c r="N755" s="294"/>
      <c r="O755" s="88"/>
      <c r="P755" s="88"/>
      <c r="Q755" s="88"/>
      <c r="R755" s="88"/>
      <c r="S755" s="88"/>
      <c r="T755" s="88"/>
      <c r="U755" s="88"/>
      <c r="V755" s="88"/>
      <c r="W755" s="88"/>
      <c r="X755" s="88"/>
      <c r="Y755" s="88"/>
      <c r="Z755" s="88"/>
      <c r="AA755" s="88"/>
      <c r="AB755" s="88"/>
      <c r="AC755" s="88"/>
      <c r="AD755" s="88"/>
      <c r="AE755" s="88"/>
      <c r="AF755" s="88"/>
      <c r="AG755" s="88"/>
      <c r="AH755" s="88"/>
    </row>
    <row r="756" spans="1:34" ht="69.75" customHeight="1" x14ac:dyDescent="0.25">
      <c r="A756" s="948"/>
      <c r="B756" s="694"/>
      <c r="C756" s="694"/>
      <c r="D756" s="295" t="s">
        <v>1148</v>
      </c>
      <c r="E756" s="300">
        <v>930550000</v>
      </c>
      <c r="F756" s="301">
        <v>27365765</v>
      </c>
      <c r="G756" s="292"/>
      <c r="H756" s="88"/>
      <c r="I756" s="88"/>
      <c r="J756" s="293"/>
      <c r="K756" s="88"/>
      <c r="L756" s="88"/>
      <c r="M756" s="88"/>
      <c r="N756" s="294"/>
      <c r="O756" s="88"/>
      <c r="P756" s="88"/>
      <c r="Q756" s="88"/>
      <c r="R756" s="88"/>
      <c r="S756" s="88"/>
      <c r="T756" s="88"/>
      <c r="U756" s="88"/>
      <c r="V756" s="88"/>
      <c r="W756" s="88"/>
      <c r="X756" s="88"/>
      <c r="Y756" s="88"/>
      <c r="Z756" s="88"/>
      <c r="AA756" s="88"/>
      <c r="AB756" s="88"/>
      <c r="AC756" s="88"/>
      <c r="AD756" s="88"/>
      <c r="AE756" s="88"/>
      <c r="AF756" s="88"/>
      <c r="AG756" s="88"/>
      <c r="AH756" s="88"/>
    </row>
    <row r="757" spans="1:34" ht="69.75" customHeight="1" x14ac:dyDescent="0.25">
      <c r="A757" s="948"/>
      <c r="B757" s="694"/>
      <c r="C757" s="694"/>
      <c r="D757" s="295" t="s">
        <v>1149</v>
      </c>
      <c r="E757" s="300">
        <v>360437000</v>
      </c>
      <c r="F757" s="301">
        <v>7574200</v>
      </c>
      <c r="G757" s="292"/>
      <c r="H757" s="88"/>
      <c r="I757" s="88"/>
      <c r="J757" s="293"/>
      <c r="K757" s="88"/>
      <c r="L757" s="88"/>
      <c r="M757" s="88"/>
      <c r="N757" s="294"/>
      <c r="O757" s="88"/>
      <c r="P757" s="88"/>
      <c r="Q757" s="88"/>
      <c r="R757" s="88"/>
      <c r="S757" s="88"/>
      <c r="T757" s="88"/>
      <c r="U757" s="88"/>
      <c r="V757" s="88"/>
      <c r="W757" s="88"/>
      <c r="X757" s="88"/>
      <c r="Y757" s="88"/>
      <c r="Z757" s="88"/>
      <c r="AA757" s="88"/>
      <c r="AB757" s="88"/>
      <c r="AC757" s="88"/>
      <c r="AD757" s="88"/>
      <c r="AE757" s="88"/>
      <c r="AF757" s="88"/>
      <c r="AG757" s="88"/>
      <c r="AH757" s="88"/>
    </row>
    <row r="758" spans="1:34" ht="69.75" customHeight="1" x14ac:dyDescent="0.25">
      <c r="A758" s="948"/>
      <c r="B758" s="733"/>
      <c r="C758" s="733"/>
      <c r="D758" s="295" t="s">
        <v>891</v>
      </c>
      <c r="E758" s="302">
        <v>1275635000</v>
      </c>
      <c r="F758" s="301">
        <v>16130234</v>
      </c>
      <c r="G758" s="298"/>
      <c r="H758" s="88"/>
      <c r="I758" s="88"/>
      <c r="J758" s="293"/>
      <c r="K758" s="88"/>
      <c r="L758" s="88"/>
      <c r="M758" s="88"/>
      <c r="N758" s="294"/>
      <c r="O758" s="88"/>
      <c r="P758" s="88"/>
      <c r="Q758" s="88"/>
      <c r="R758" s="88"/>
      <c r="S758" s="88"/>
      <c r="T758" s="88"/>
      <c r="U758" s="88"/>
      <c r="V758" s="88"/>
      <c r="W758" s="88"/>
      <c r="X758" s="88"/>
      <c r="Y758" s="88"/>
      <c r="Z758" s="88"/>
      <c r="AA758" s="88"/>
      <c r="AB758" s="88"/>
      <c r="AC758" s="88"/>
      <c r="AD758" s="88"/>
      <c r="AE758" s="88"/>
      <c r="AF758" s="88"/>
      <c r="AG758" s="88"/>
      <c r="AH758" s="88"/>
    </row>
    <row r="759" spans="1:34" ht="69.75" customHeight="1" x14ac:dyDescent="0.25">
      <c r="A759" s="948"/>
      <c r="B759" s="30" t="s">
        <v>971</v>
      </c>
      <c r="C759" s="30" t="s">
        <v>972</v>
      </c>
      <c r="D759" s="295" t="s">
        <v>1150</v>
      </c>
      <c r="E759" s="300">
        <v>370000000</v>
      </c>
      <c r="F759" s="301">
        <v>11707467</v>
      </c>
      <c r="G759" s="292"/>
      <c r="H759" s="88"/>
      <c r="I759" s="88"/>
      <c r="J759" s="293"/>
      <c r="K759" s="88"/>
      <c r="L759" s="88"/>
      <c r="M759" s="88"/>
      <c r="N759" s="294"/>
      <c r="O759" s="88"/>
      <c r="P759" s="88"/>
      <c r="Q759" s="88"/>
      <c r="R759" s="88"/>
      <c r="S759" s="88"/>
      <c r="T759" s="88"/>
      <c r="U759" s="88"/>
      <c r="V759" s="88"/>
      <c r="W759" s="88"/>
      <c r="X759" s="88"/>
      <c r="Y759" s="88"/>
      <c r="Z759" s="88"/>
      <c r="AA759" s="88"/>
      <c r="AB759" s="88"/>
      <c r="AC759" s="88"/>
      <c r="AD759" s="88"/>
      <c r="AE759" s="88"/>
      <c r="AF759" s="88"/>
      <c r="AG759" s="88"/>
      <c r="AH759" s="88"/>
    </row>
    <row r="760" spans="1:34" ht="69.75" customHeight="1" x14ac:dyDescent="0.25">
      <c r="A760" s="953"/>
      <c r="B760" s="30" t="s">
        <v>975</v>
      </c>
      <c r="C760" s="30" t="s">
        <v>976</v>
      </c>
      <c r="D760" s="295" t="s">
        <v>381</v>
      </c>
      <c r="E760" s="300">
        <v>783421000</v>
      </c>
      <c r="F760" s="301">
        <v>5684626</v>
      </c>
      <c r="G760" s="292"/>
      <c r="H760" s="88"/>
      <c r="I760" s="88"/>
      <c r="J760" s="293"/>
      <c r="K760" s="88"/>
      <c r="L760" s="88"/>
      <c r="M760" s="88"/>
      <c r="N760" s="294"/>
      <c r="O760" s="88"/>
      <c r="P760" s="88"/>
      <c r="Q760" s="88"/>
      <c r="R760" s="88"/>
      <c r="S760" s="88"/>
      <c r="T760" s="88"/>
      <c r="U760" s="88"/>
      <c r="V760" s="88"/>
      <c r="W760" s="88"/>
      <c r="X760" s="88"/>
      <c r="Y760" s="88"/>
      <c r="Z760" s="88"/>
      <c r="AA760" s="88"/>
      <c r="AB760" s="88"/>
      <c r="AC760" s="88"/>
      <c r="AD760" s="88"/>
      <c r="AE760" s="88"/>
      <c r="AF760" s="88"/>
      <c r="AG760" s="88"/>
      <c r="AH760" s="88"/>
    </row>
    <row r="761" spans="1:34" ht="69.75" customHeight="1" x14ac:dyDescent="0.25">
      <c r="A761" s="952" t="s">
        <v>942</v>
      </c>
      <c r="B761" s="957" t="s">
        <v>963</v>
      </c>
      <c r="C761" s="957" t="s">
        <v>964</v>
      </c>
      <c r="D761" s="290" t="s">
        <v>344</v>
      </c>
      <c r="E761" s="300">
        <v>825557000</v>
      </c>
      <c r="F761" s="301">
        <v>78914567</v>
      </c>
      <c r="G761" s="292"/>
      <c r="H761" s="88"/>
      <c r="I761" s="88"/>
      <c r="J761" s="293"/>
      <c r="K761" s="88"/>
      <c r="L761" s="88"/>
      <c r="M761" s="88"/>
      <c r="N761" s="294"/>
      <c r="O761" s="88"/>
      <c r="P761" s="88"/>
      <c r="Q761" s="88"/>
      <c r="R761" s="88"/>
      <c r="S761" s="88"/>
      <c r="T761" s="88"/>
      <c r="U761" s="88"/>
      <c r="V761" s="88"/>
      <c r="W761" s="88"/>
      <c r="X761" s="88"/>
      <c r="Y761" s="88"/>
      <c r="Z761" s="88"/>
      <c r="AA761" s="88"/>
      <c r="AB761" s="88"/>
      <c r="AC761" s="88"/>
      <c r="AD761" s="88"/>
      <c r="AE761" s="88"/>
      <c r="AF761" s="88"/>
      <c r="AG761" s="88"/>
      <c r="AH761" s="88"/>
    </row>
    <row r="762" spans="1:34" ht="69.75" customHeight="1" x14ac:dyDescent="0.25">
      <c r="A762" s="948"/>
      <c r="B762" s="694"/>
      <c r="C762" s="694"/>
      <c r="D762" s="290" t="s">
        <v>355</v>
      </c>
      <c r="E762" s="300">
        <v>180497000</v>
      </c>
      <c r="F762" s="301">
        <v>7936200</v>
      </c>
      <c r="G762" s="292"/>
      <c r="H762" s="88"/>
      <c r="I762" s="88"/>
      <c r="J762" s="293"/>
      <c r="K762" s="88"/>
      <c r="L762" s="88"/>
      <c r="M762" s="88"/>
      <c r="N762" s="294"/>
      <c r="O762" s="88"/>
      <c r="P762" s="88"/>
      <c r="Q762" s="88"/>
      <c r="R762" s="88"/>
      <c r="S762" s="88"/>
      <c r="T762" s="88"/>
      <c r="U762" s="88"/>
      <c r="V762" s="88"/>
      <c r="W762" s="88"/>
      <c r="X762" s="88"/>
      <c r="Y762" s="88"/>
      <c r="Z762" s="88"/>
      <c r="AA762" s="88"/>
      <c r="AB762" s="88"/>
      <c r="AC762" s="88"/>
      <c r="AD762" s="88"/>
      <c r="AE762" s="88"/>
      <c r="AF762" s="88"/>
      <c r="AG762" s="88"/>
      <c r="AH762" s="88"/>
    </row>
    <row r="763" spans="1:34" ht="69.75" customHeight="1" x14ac:dyDescent="0.25">
      <c r="A763" s="948"/>
      <c r="B763" s="733"/>
      <c r="C763" s="733"/>
      <c r="D763" s="290" t="s">
        <v>358</v>
      </c>
      <c r="E763" s="300">
        <v>33110000</v>
      </c>
      <c r="F763" s="301">
        <v>5819333</v>
      </c>
      <c r="G763" s="292"/>
      <c r="H763" s="88"/>
      <c r="I763" s="88"/>
      <c r="J763" s="293"/>
      <c r="K763" s="88"/>
      <c r="L763" s="88"/>
      <c r="M763" s="88"/>
      <c r="N763" s="294"/>
      <c r="O763" s="88"/>
      <c r="P763" s="88"/>
      <c r="Q763" s="88"/>
      <c r="R763" s="88"/>
      <c r="S763" s="88"/>
      <c r="T763" s="88"/>
      <c r="U763" s="88"/>
      <c r="V763" s="88"/>
      <c r="W763" s="88"/>
      <c r="X763" s="88"/>
      <c r="Y763" s="88"/>
      <c r="Z763" s="88"/>
      <c r="AA763" s="88"/>
      <c r="AB763" s="88"/>
      <c r="AC763" s="88"/>
      <c r="AD763" s="88"/>
      <c r="AE763" s="88"/>
      <c r="AF763" s="88"/>
      <c r="AG763" s="88"/>
      <c r="AH763" s="88"/>
    </row>
    <row r="764" spans="1:34" ht="69.75" customHeight="1" x14ac:dyDescent="0.25">
      <c r="A764" s="948"/>
      <c r="B764" s="965" t="s">
        <v>967</v>
      </c>
      <c r="C764" s="965" t="s">
        <v>968</v>
      </c>
      <c r="D764" s="295" t="s">
        <v>362</v>
      </c>
      <c r="E764" s="300">
        <v>86086000</v>
      </c>
      <c r="F764" s="301">
        <v>12521600</v>
      </c>
      <c r="G764" s="292"/>
      <c r="H764" s="88"/>
      <c r="I764" s="88"/>
      <c r="J764" s="293"/>
      <c r="K764" s="88"/>
      <c r="L764" s="88"/>
      <c r="M764" s="88"/>
      <c r="N764" s="294"/>
      <c r="O764" s="88"/>
      <c r="P764" s="88"/>
      <c r="Q764" s="88"/>
      <c r="R764" s="88"/>
      <c r="S764" s="88"/>
      <c r="T764" s="88"/>
      <c r="U764" s="88"/>
      <c r="V764" s="88"/>
      <c r="W764" s="88"/>
      <c r="X764" s="88"/>
      <c r="Y764" s="88"/>
      <c r="Z764" s="88"/>
      <c r="AA764" s="88"/>
      <c r="AB764" s="88"/>
      <c r="AC764" s="88"/>
      <c r="AD764" s="88"/>
      <c r="AE764" s="88"/>
      <c r="AF764" s="88"/>
      <c r="AG764" s="88"/>
      <c r="AH764" s="88"/>
    </row>
    <row r="765" spans="1:34" ht="69.75" customHeight="1" x14ac:dyDescent="0.25">
      <c r="A765" s="948"/>
      <c r="B765" s="694"/>
      <c r="C765" s="694"/>
      <c r="D765" s="295" t="s">
        <v>1148</v>
      </c>
      <c r="E765" s="300">
        <v>930550000</v>
      </c>
      <c r="F765" s="301">
        <v>81450966</v>
      </c>
      <c r="G765" s="292"/>
      <c r="H765" s="88"/>
      <c r="I765" s="88"/>
      <c r="J765" s="293"/>
      <c r="K765" s="88"/>
      <c r="L765" s="88"/>
      <c r="M765" s="88"/>
      <c r="N765" s="294"/>
      <c r="O765" s="88"/>
      <c r="P765" s="88"/>
      <c r="Q765" s="88"/>
      <c r="R765" s="88"/>
      <c r="S765" s="88"/>
      <c r="T765" s="88"/>
      <c r="U765" s="88"/>
      <c r="V765" s="88"/>
      <c r="W765" s="88"/>
      <c r="X765" s="88"/>
      <c r="Y765" s="88"/>
      <c r="Z765" s="88"/>
      <c r="AA765" s="88"/>
      <c r="AB765" s="88"/>
      <c r="AC765" s="88"/>
      <c r="AD765" s="88"/>
      <c r="AE765" s="88"/>
      <c r="AF765" s="88"/>
      <c r="AG765" s="88"/>
      <c r="AH765" s="88"/>
    </row>
    <row r="766" spans="1:34" ht="69.75" customHeight="1" x14ac:dyDescent="0.25">
      <c r="A766" s="948"/>
      <c r="B766" s="694"/>
      <c r="C766" s="694"/>
      <c r="D766" s="295" t="s">
        <v>1149</v>
      </c>
      <c r="E766" s="300">
        <v>360437000</v>
      </c>
      <c r="F766" s="301">
        <v>36018233</v>
      </c>
      <c r="G766" s="292"/>
      <c r="H766" s="88"/>
      <c r="I766" s="88"/>
      <c r="J766" s="293"/>
      <c r="K766" s="88"/>
      <c r="L766" s="88"/>
      <c r="M766" s="88"/>
      <c r="N766" s="294"/>
      <c r="O766" s="88"/>
      <c r="P766" s="88"/>
      <c r="Q766" s="88"/>
      <c r="R766" s="88"/>
      <c r="S766" s="88"/>
      <c r="T766" s="88"/>
      <c r="U766" s="88"/>
      <c r="V766" s="88"/>
      <c r="W766" s="88"/>
      <c r="X766" s="88"/>
      <c r="Y766" s="88"/>
      <c r="Z766" s="88"/>
      <c r="AA766" s="88"/>
      <c r="AB766" s="88"/>
      <c r="AC766" s="88"/>
      <c r="AD766" s="88"/>
      <c r="AE766" s="88"/>
      <c r="AF766" s="88"/>
      <c r="AG766" s="88"/>
      <c r="AH766" s="88"/>
    </row>
    <row r="767" spans="1:34" ht="69.75" customHeight="1" x14ac:dyDescent="0.25">
      <c r="A767" s="948"/>
      <c r="B767" s="733"/>
      <c r="C767" s="733"/>
      <c r="D767" s="295" t="s">
        <v>891</v>
      </c>
      <c r="E767" s="302">
        <v>1275635000</v>
      </c>
      <c r="F767" s="301">
        <v>51932101</v>
      </c>
      <c r="G767" s="298"/>
      <c r="H767" s="88"/>
      <c r="I767" s="88"/>
      <c r="J767" s="293"/>
      <c r="K767" s="88"/>
      <c r="L767" s="88"/>
      <c r="M767" s="88"/>
      <c r="N767" s="294"/>
      <c r="O767" s="88"/>
      <c r="P767" s="88"/>
      <c r="Q767" s="88"/>
      <c r="R767" s="88"/>
      <c r="S767" s="88"/>
      <c r="T767" s="88"/>
      <c r="U767" s="88"/>
      <c r="V767" s="88"/>
      <c r="W767" s="88"/>
      <c r="X767" s="88"/>
      <c r="Y767" s="88"/>
      <c r="Z767" s="88"/>
      <c r="AA767" s="88"/>
      <c r="AB767" s="88"/>
      <c r="AC767" s="88"/>
      <c r="AD767" s="88"/>
      <c r="AE767" s="88"/>
      <c r="AF767" s="88"/>
      <c r="AG767" s="88"/>
      <c r="AH767" s="88"/>
    </row>
    <row r="768" spans="1:34" ht="69.75" customHeight="1" x14ac:dyDescent="0.25">
      <c r="A768" s="948"/>
      <c r="B768" s="30" t="s">
        <v>971</v>
      </c>
      <c r="C768" s="30" t="s">
        <v>972</v>
      </c>
      <c r="D768" s="295" t="s">
        <v>1150</v>
      </c>
      <c r="E768" s="300">
        <v>370000000</v>
      </c>
      <c r="F768" s="301">
        <v>42960134</v>
      </c>
      <c r="G768" s="292"/>
      <c r="H768" s="88"/>
      <c r="I768" s="88"/>
      <c r="J768" s="293"/>
      <c r="K768" s="88"/>
      <c r="L768" s="88"/>
      <c r="M768" s="88"/>
      <c r="N768" s="294"/>
      <c r="O768" s="88"/>
      <c r="P768" s="88"/>
      <c r="Q768" s="88"/>
      <c r="R768" s="88"/>
      <c r="S768" s="88"/>
      <c r="T768" s="88"/>
      <c r="U768" s="88"/>
      <c r="V768" s="88"/>
      <c r="W768" s="88"/>
      <c r="X768" s="88"/>
      <c r="Y768" s="88"/>
      <c r="Z768" s="88"/>
      <c r="AA768" s="88"/>
      <c r="AB768" s="88"/>
      <c r="AC768" s="88"/>
      <c r="AD768" s="88"/>
      <c r="AE768" s="88"/>
      <c r="AF768" s="88"/>
      <c r="AG768" s="88"/>
      <c r="AH768" s="88"/>
    </row>
    <row r="769" spans="1:34" ht="69.75" customHeight="1" x14ac:dyDescent="0.25">
      <c r="A769" s="953"/>
      <c r="B769" s="30" t="s">
        <v>975</v>
      </c>
      <c r="C769" s="30" t="s">
        <v>976</v>
      </c>
      <c r="D769" s="295" t="s">
        <v>381</v>
      </c>
      <c r="E769" s="300">
        <v>783421000</v>
      </c>
      <c r="F769" s="300">
        <v>55533102</v>
      </c>
      <c r="G769" s="292"/>
      <c r="H769" s="88"/>
      <c r="I769" s="88"/>
      <c r="J769" s="293"/>
      <c r="K769" s="88"/>
      <c r="L769" s="88"/>
      <c r="M769" s="88"/>
      <c r="N769" s="294"/>
      <c r="O769" s="88"/>
      <c r="P769" s="88"/>
      <c r="Q769" s="88"/>
      <c r="R769" s="88"/>
      <c r="S769" s="88"/>
      <c r="T769" s="88"/>
      <c r="U769" s="88"/>
      <c r="V769" s="88"/>
      <c r="W769" s="88"/>
      <c r="X769" s="88"/>
      <c r="Y769" s="88"/>
      <c r="Z769" s="88"/>
      <c r="AA769" s="88"/>
      <c r="AB769" s="88"/>
      <c r="AC769" s="88"/>
      <c r="AD769" s="88"/>
      <c r="AE769" s="88"/>
      <c r="AF769" s="88"/>
      <c r="AG769" s="88"/>
      <c r="AH769" s="88"/>
    </row>
    <row r="770" spans="1:34" ht="69.75" customHeight="1" x14ac:dyDescent="0.25">
      <c r="A770" s="952" t="s">
        <v>943</v>
      </c>
      <c r="B770" s="957" t="s">
        <v>963</v>
      </c>
      <c r="C770" s="957" t="s">
        <v>964</v>
      </c>
      <c r="D770" s="290" t="s">
        <v>344</v>
      </c>
      <c r="E770" s="300">
        <v>825557000</v>
      </c>
      <c r="F770" s="300">
        <v>131258567</v>
      </c>
      <c r="G770" s="292"/>
      <c r="H770" s="88"/>
      <c r="I770" s="88"/>
      <c r="J770" s="293"/>
      <c r="K770" s="88"/>
      <c r="L770" s="88"/>
      <c r="M770" s="88"/>
      <c r="N770" s="294"/>
      <c r="O770" s="88"/>
      <c r="P770" s="88"/>
      <c r="Q770" s="88"/>
      <c r="R770" s="88"/>
      <c r="S770" s="88"/>
      <c r="T770" s="88"/>
      <c r="U770" s="88"/>
      <c r="V770" s="88"/>
      <c r="W770" s="88"/>
      <c r="X770" s="88"/>
      <c r="Y770" s="88"/>
      <c r="Z770" s="88"/>
      <c r="AA770" s="88"/>
      <c r="AB770" s="88"/>
      <c r="AC770" s="88"/>
      <c r="AD770" s="88"/>
      <c r="AE770" s="88"/>
      <c r="AF770" s="88"/>
      <c r="AG770" s="88"/>
      <c r="AH770" s="88"/>
    </row>
    <row r="771" spans="1:34" ht="69.75" customHeight="1" x14ac:dyDescent="0.25">
      <c r="A771" s="948"/>
      <c r="B771" s="694"/>
      <c r="C771" s="694"/>
      <c r="D771" s="290" t="s">
        <v>355</v>
      </c>
      <c r="E771" s="300">
        <v>180497000</v>
      </c>
      <c r="F771" s="300">
        <v>23808600</v>
      </c>
      <c r="G771" s="292"/>
      <c r="H771" s="88"/>
      <c r="I771" s="88"/>
      <c r="J771" s="293"/>
      <c r="K771" s="88"/>
      <c r="L771" s="88"/>
      <c r="M771" s="88"/>
      <c r="N771" s="294"/>
      <c r="O771" s="88"/>
      <c r="P771" s="88"/>
      <c r="Q771" s="88"/>
      <c r="R771" s="88"/>
      <c r="S771" s="88"/>
      <c r="T771" s="88"/>
      <c r="U771" s="88"/>
      <c r="V771" s="88"/>
      <c r="W771" s="88"/>
      <c r="X771" s="88"/>
      <c r="Y771" s="88"/>
      <c r="Z771" s="88"/>
      <c r="AA771" s="88"/>
      <c r="AB771" s="88"/>
      <c r="AC771" s="88"/>
      <c r="AD771" s="88"/>
      <c r="AE771" s="88"/>
      <c r="AF771" s="88"/>
      <c r="AG771" s="88"/>
      <c r="AH771" s="88"/>
    </row>
    <row r="772" spans="1:34" ht="69.75" customHeight="1" x14ac:dyDescent="0.25">
      <c r="A772" s="948"/>
      <c r="B772" s="733"/>
      <c r="C772" s="733"/>
      <c r="D772" s="290" t="s">
        <v>358</v>
      </c>
      <c r="E772" s="300">
        <v>33110000</v>
      </c>
      <c r="F772" s="300">
        <v>8829333</v>
      </c>
      <c r="G772" s="292"/>
      <c r="H772" s="88"/>
      <c r="I772" s="88"/>
      <c r="J772" s="293"/>
      <c r="K772" s="88"/>
      <c r="L772" s="88"/>
      <c r="M772" s="88"/>
      <c r="N772" s="294"/>
      <c r="O772" s="88"/>
      <c r="P772" s="88"/>
      <c r="Q772" s="88"/>
      <c r="R772" s="88"/>
      <c r="S772" s="88"/>
      <c r="T772" s="88"/>
      <c r="U772" s="88"/>
      <c r="V772" s="88"/>
      <c r="W772" s="88"/>
      <c r="X772" s="88"/>
      <c r="Y772" s="88"/>
      <c r="Z772" s="88"/>
      <c r="AA772" s="88"/>
      <c r="AB772" s="88"/>
      <c r="AC772" s="88"/>
      <c r="AD772" s="88"/>
      <c r="AE772" s="88"/>
      <c r="AF772" s="88"/>
      <c r="AG772" s="88"/>
      <c r="AH772" s="88"/>
    </row>
    <row r="773" spans="1:34" ht="69.75" customHeight="1" x14ac:dyDescent="0.25">
      <c r="A773" s="948"/>
      <c r="B773" s="965" t="s">
        <v>967</v>
      </c>
      <c r="C773" s="965" t="s">
        <v>968</v>
      </c>
      <c r="D773" s="295" t="s">
        <v>362</v>
      </c>
      <c r="E773" s="300">
        <v>86086000</v>
      </c>
      <c r="F773" s="300">
        <v>20347600</v>
      </c>
      <c r="G773" s="292"/>
      <c r="H773" s="88"/>
      <c r="I773" s="88"/>
      <c r="J773" s="293"/>
      <c r="K773" s="88"/>
      <c r="L773" s="88"/>
      <c r="M773" s="88"/>
      <c r="N773" s="294"/>
      <c r="O773" s="88"/>
      <c r="P773" s="88"/>
      <c r="Q773" s="88"/>
      <c r="R773" s="88"/>
      <c r="S773" s="88"/>
      <c r="T773" s="88"/>
      <c r="U773" s="88"/>
      <c r="V773" s="88"/>
      <c r="W773" s="88"/>
      <c r="X773" s="88"/>
      <c r="Y773" s="88"/>
      <c r="Z773" s="88"/>
      <c r="AA773" s="88"/>
      <c r="AB773" s="88"/>
      <c r="AC773" s="88"/>
      <c r="AD773" s="88"/>
      <c r="AE773" s="88"/>
      <c r="AF773" s="88"/>
      <c r="AG773" s="88"/>
      <c r="AH773" s="88"/>
    </row>
    <row r="774" spans="1:34" ht="69.75" customHeight="1" x14ac:dyDescent="0.25">
      <c r="A774" s="948"/>
      <c r="B774" s="694"/>
      <c r="C774" s="694"/>
      <c r="D774" s="295" t="s">
        <v>1148</v>
      </c>
      <c r="E774" s="300">
        <v>930550000</v>
      </c>
      <c r="F774" s="300">
        <v>143126966</v>
      </c>
      <c r="G774" s="292"/>
      <c r="H774" s="88"/>
      <c r="I774" s="88"/>
      <c r="J774" s="293"/>
      <c r="K774" s="88"/>
      <c r="L774" s="88"/>
      <c r="M774" s="88"/>
      <c r="N774" s="294"/>
      <c r="O774" s="88"/>
      <c r="P774" s="88"/>
      <c r="Q774" s="88"/>
      <c r="R774" s="88"/>
      <c r="S774" s="88"/>
      <c r="T774" s="88"/>
      <c r="U774" s="88"/>
      <c r="V774" s="88"/>
      <c r="W774" s="88"/>
      <c r="X774" s="88"/>
      <c r="Y774" s="88"/>
      <c r="Z774" s="88"/>
      <c r="AA774" s="88"/>
      <c r="AB774" s="88"/>
      <c r="AC774" s="88"/>
      <c r="AD774" s="88"/>
      <c r="AE774" s="88"/>
      <c r="AF774" s="88"/>
      <c r="AG774" s="88"/>
      <c r="AH774" s="88"/>
    </row>
    <row r="775" spans="1:34" ht="69.75" customHeight="1" x14ac:dyDescent="0.25">
      <c r="A775" s="948"/>
      <c r="B775" s="694"/>
      <c r="C775" s="694"/>
      <c r="D775" s="295" t="s">
        <v>1149</v>
      </c>
      <c r="E775" s="300">
        <v>360437000</v>
      </c>
      <c r="F775" s="300">
        <v>64609233</v>
      </c>
      <c r="G775" s="292"/>
      <c r="H775" s="88"/>
      <c r="I775" s="88"/>
      <c r="J775" s="293"/>
      <c r="K775" s="88"/>
      <c r="L775" s="88"/>
      <c r="M775" s="88"/>
      <c r="N775" s="294"/>
      <c r="O775" s="88"/>
      <c r="P775" s="88"/>
      <c r="Q775" s="88"/>
      <c r="R775" s="88"/>
      <c r="S775" s="88"/>
      <c r="T775" s="88"/>
      <c r="U775" s="88"/>
      <c r="V775" s="88"/>
      <c r="W775" s="88"/>
      <c r="X775" s="88"/>
      <c r="Y775" s="88"/>
      <c r="Z775" s="88"/>
      <c r="AA775" s="88"/>
      <c r="AB775" s="88"/>
      <c r="AC775" s="88"/>
      <c r="AD775" s="88"/>
      <c r="AE775" s="88"/>
      <c r="AF775" s="88"/>
      <c r="AG775" s="88"/>
      <c r="AH775" s="88"/>
    </row>
    <row r="776" spans="1:34" ht="69.75" customHeight="1" x14ac:dyDescent="0.25">
      <c r="A776" s="948"/>
      <c r="B776" s="733"/>
      <c r="C776" s="733"/>
      <c r="D776" s="295" t="s">
        <v>891</v>
      </c>
      <c r="E776" s="302">
        <v>1275635000</v>
      </c>
      <c r="F776" s="300">
        <v>93733901</v>
      </c>
      <c r="G776" s="298"/>
      <c r="H776" s="88"/>
      <c r="I776" s="88"/>
      <c r="J776" s="293"/>
      <c r="K776" s="88"/>
      <c r="L776" s="88"/>
      <c r="M776" s="88"/>
      <c r="N776" s="294"/>
      <c r="O776" s="88"/>
      <c r="P776" s="88"/>
      <c r="Q776" s="88"/>
      <c r="R776" s="88"/>
      <c r="S776" s="88"/>
      <c r="T776" s="88"/>
      <c r="U776" s="88"/>
      <c r="V776" s="88"/>
      <c r="W776" s="88"/>
      <c r="X776" s="88"/>
      <c r="Y776" s="88"/>
      <c r="Z776" s="88"/>
      <c r="AA776" s="88"/>
      <c r="AB776" s="88"/>
      <c r="AC776" s="88"/>
      <c r="AD776" s="88"/>
      <c r="AE776" s="88"/>
      <c r="AF776" s="88"/>
      <c r="AG776" s="88"/>
      <c r="AH776" s="88"/>
    </row>
    <row r="777" spans="1:34" ht="69.75" customHeight="1" x14ac:dyDescent="0.25">
      <c r="A777" s="948"/>
      <c r="B777" s="30" t="s">
        <v>971</v>
      </c>
      <c r="C777" s="30" t="s">
        <v>972</v>
      </c>
      <c r="D777" s="295" t="s">
        <v>1150</v>
      </c>
      <c r="E777" s="300">
        <v>370000000</v>
      </c>
      <c r="F777" s="300">
        <v>76171134</v>
      </c>
      <c r="G777" s="292"/>
      <c r="H777" s="88"/>
      <c r="I777" s="88"/>
      <c r="J777" s="293"/>
      <c r="K777" s="88"/>
      <c r="L777" s="88"/>
      <c r="M777" s="88"/>
      <c r="N777" s="294"/>
      <c r="O777" s="88"/>
      <c r="P777" s="88"/>
      <c r="Q777" s="88"/>
      <c r="R777" s="88"/>
      <c r="S777" s="88"/>
      <c r="T777" s="88"/>
      <c r="U777" s="88"/>
      <c r="V777" s="88"/>
      <c r="W777" s="88"/>
      <c r="X777" s="88"/>
      <c r="Y777" s="88"/>
      <c r="Z777" s="88"/>
      <c r="AA777" s="88"/>
      <c r="AB777" s="88"/>
      <c r="AC777" s="88"/>
      <c r="AD777" s="88"/>
      <c r="AE777" s="88"/>
      <c r="AF777" s="88"/>
      <c r="AG777" s="88"/>
      <c r="AH777" s="88"/>
    </row>
    <row r="778" spans="1:34" ht="69.75" customHeight="1" x14ac:dyDescent="0.25">
      <c r="A778" s="953"/>
      <c r="B778" s="30" t="s">
        <v>975</v>
      </c>
      <c r="C778" s="30" t="s">
        <v>976</v>
      </c>
      <c r="D778" s="295" t="s">
        <v>381</v>
      </c>
      <c r="E778" s="300">
        <v>783421000</v>
      </c>
      <c r="F778" s="300">
        <v>96783912</v>
      </c>
      <c r="G778" s="292"/>
      <c r="H778" s="88"/>
      <c r="I778" s="88"/>
      <c r="J778" s="293"/>
      <c r="K778" s="88"/>
      <c r="L778" s="88"/>
      <c r="M778" s="88"/>
      <c r="N778" s="294"/>
      <c r="O778" s="88"/>
      <c r="P778" s="88"/>
      <c r="Q778" s="88"/>
      <c r="R778" s="88"/>
      <c r="S778" s="88"/>
      <c r="T778" s="88"/>
      <c r="U778" s="88"/>
      <c r="V778" s="88"/>
      <c r="W778" s="88"/>
      <c r="X778" s="88"/>
      <c r="Y778" s="88"/>
      <c r="Z778" s="88"/>
      <c r="AA778" s="88"/>
      <c r="AB778" s="88"/>
      <c r="AC778" s="88"/>
      <c r="AD778" s="88"/>
      <c r="AE778" s="88"/>
      <c r="AF778" s="88"/>
      <c r="AG778" s="88"/>
      <c r="AH778" s="88"/>
    </row>
    <row r="779" spans="1:34" ht="69.75" customHeight="1" x14ac:dyDescent="0.25">
      <c r="A779" s="952" t="s">
        <v>944</v>
      </c>
      <c r="B779" s="957" t="s">
        <v>963</v>
      </c>
      <c r="C779" s="957" t="s">
        <v>964</v>
      </c>
      <c r="D779" s="290" t="s">
        <v>344</v>
      </c>
      <c r="E779" s="300">
        <v>825557000</v>
      </c>
      <c r="F779" s="300">
        <v>255374459.30402738</v>
      </c>
      <c r="G779" s="292"/>
      <c r="H779" s="88"/>
      <c r="I779" s="88"/>
      <c r="J779" s="293"/>
      <c r="K779" s="88"/>
      <c r="L779" s="88"/>
      <c r="M779" s="88"/>
      <c r="N779" s="294"/>
      <c r="O779" s="88"/>
      <c r="P779" s="88"/>
      <c r="Q779" s="88"/>
      <c r="R779" s="88"/>
      <c r="S779" s="88"/>
      <c r="T779" s="88"/>
      <c r="U779" s="88"/>
      <c r="V779" s="88"/>
      <c r="W779" s="88"/>
      <c r="X779" s="88"/>
      <c r="Y779" s="88"/>
      <c r="Z779" s="88"/>
      <c r="AA779" s="88"/>
      <c r="AB779" s="88"/>
      <c r="AC779" s="88"/>
      <c r="AD779" s="88"/>
      <c r="AE779" s="88"/>
      <c r="AF779" s="88"/>
      <c r="AG779" s="88"/>
      <c r="AH779" s="88"/>
    </row>
    <row r="780" spans="1:34" ht="69.75" customHeight="1" x14ac:dyDescent="0.25">
      <c r="A780" s="948"/>
      <c r="B780" s="694"/>
      <c r="C780" s="694"/>
      <c r="D780" s="290" t="s">
        <v>355</v>
      </c>
      <c r="E780" s="300">
        <v>180497000</v>
      </c>
      <c r="F780" s="300">
        <v>37035600</v>
      </c>
      <c r="G780" s="292"/>
      <c r="H780" s="88"/>
      <c r="I780" s="88"/>
      <c r="J780" s="293"/>
      <c r="K780" s="88"/>
      <c r="L780" s="88"/>
      <c r="M780" s="88"/>
      <c r="N780" s="294"/>
      <c r="O780" s="88"/>
      <c r="P780" s="88"/>
      <c r="Q780" s="88"/>
      <c r="R780" s="88"/>
      <c r="S780" s="88"/>
      <c r="T780" s="88"/>
      <c r="U780" s="88"/>
      <c r="V780" s="88"/>
      <c r="W780" s="88"/>
      <c r="X780" s="88"/>
      <c r="Y780" s="88"/>
      <c r="Z780" s="88"/>
      <c r="AA780" s="88"/>
      <c r="AB780" s="88"/>
      <c r="AC780" s="88"/>
      <c r="AD780" s="88"/>
      <c r="AE780" s="88"/>
      <c r="AF780" s="88"/>
      <c r="AG780" s="88"/>
      <c r="AH780" s="88"/>
    </row>
    <row r="781" spans="1:34" ht="69.75" customHeight="1" x14ac:dyDescent="0.25">
      <c r="A781" s="948"/>
      <c r="B781" s="733"/>
      <c r="C781" s="733"/>
      <c r="D781" s="290" t="s">
        <v>358</v>
      </c>
      <c r="E781" s="300">
        <v>33110000</v>
      </c>
      <c r="F781" s="300">
        <v>11839333</v>
      </c>
      <c r="G781" s="292"/>
      <c r="H781" s="88"/>
      <c r="I781" s="88"/>
      <c r="J781" s="293"/>
      <c r="K781" s="88"/>
      <c r="L781" s="88"/>
      <c r="M781" s="88"/>
      <c r="N781" s="294"/>
      <c r="O781" s="88"/>
      <c r="P781" s="88"/>
      <c r="Q781" s="88"/>
      <c r="R781" s="88"/>
      <c r="S781" s="88"/>
      <c r="T781" s="88"/>
      <c r="U781" s="88"/>
      <c r="V781" s="88"/>
      <c r="W781" s="88"/>
      <c r="X781" s="88"/>
      <c r="Y781" s="88"/>
      <c r="Z781" s="88"/>
      <c r="AA781" s="88"/>
      <c r="AB781" s="88"/>
      <c r="AC781" s="88"/>
      <c r="AD781" s="88"/>
      <c r="AE781" s="88"/>
      <c r="AF781" s="88"/>
      <c r="AG781" s="88"/>
      <c r="AH781" s="88"/>
    </row>
    <row r="782" spans="1:34" ht="69.75" customHeight="1" x14ac:dyDescent="0.25">
      <c r="A782" s="948"/>
      <c r="B782" s="965" t="s">
        <v>967</v>
      </c>
      <c r="C782" s="965" t="s">
        <v>968</v>
      </c>
      <c r="D782" s="295" t="s">
        <v>362</v>
      </c>
      <c r="E782" s="300">
        <v>86086000</v>
      </c>
      <c r="F782" s="300">
        <v>28173600</v>
      </c>
      <c r="G782" s="292"/>
      <c r="H782" s="88"/>
      <c r="I782" s="88"/>
      <c r="J782" s="293"/>
      <c r="K782" s="88"/>
      <c r="L782" s="88"/>
      <c r="M782" s="88"/>
      <c r="N782" s="294"/>
      <c r="O782" s="88"/>
      <c r="P782" s="88"/>
      <c r="Q782" s="88"/>
      <c r="R782" s="88"/>
      <c r="S782" s="88"/>
      <c r="T782" s="88"/>
      <c r="U782" s="88"/>
      <c r="V782" s="88"/>
      <c r="W782" s="88"/>
      <c r="X782" s="88"/>
      <c r="Y782" s="88"/>
      <c r="Z782" s="88"/>
      <c r="AA782" s="88"/>
      <c r="AB782" s="88"/>
      <c r="AC782" s="88"/>
      <c r="AD782" s="88"/>
      <c r="AE782" s="88"/>
      <c r="AF782" s="88"/>
      <c r="AG782" s="88"/>
      <c r="AH782" s="88"/>
    </row>
    <row r="783" spans="1:34" ht="69.75" customHeight="1" x14ac:dyDescent="0.25">
      <c r="A783" s="948"/>
      <c r="B783" s="694"/>
      <c r="C783" s="694"/>
      <c r="D783" s="295" t="s">
        <v>1148</v>
      </c>
      <c r="E783" s="300">
        <v>930550000</v>
      </c>
      <c r="F783" s="300">
        <v>197383966</v>
      </c>
      <c r="G783" s="292"/>
      <c r="H783" s="88"/>
      <c r="I783" s="88"/>
      <c r="J783" s="293"/>
      <c r="K783" s="88"/>
      <c r="L783" s="88"/>
      <c r="M783" s="88"/>
      <c r="N783" s="294"/>
      <c r="O783" s="88"/>
      <c r="P783" s="88"/>
      <c r="Q783" s="88"/>
      <c r="R783" s="88"/>
      <c r="S783" s="88"/>
      <c r="T783" s="88"/>
      <c r="U783" s="88"/>
      <c r="V783" s="88"/>
      <c r="W783" s="88"/>
      <c r="X783" s="88"/>
      <c r="Y783" s="88"/>
      <c r="Z783" s="88"/>
      <c r="AA783" s="88"/>
      <c r="AB783" s="88"/>
      <c r="AC783" s="88"/>
      <c r="AD783" s="88"/>
      <c r="AE783" s="88"/>
      <c r="AF783" s="88"/>
      <c r="AG783" s="88"/>
      <c r="AH783" s="88"/>
    </row>
    <row r="784" spans="1:34" ht="69.75" customHeight="1" x14ac:dyDescent="0.25">
      <c r="A784" s="948"/>
      <c r="B784" s="694"/>
      <c r="C784" s="694"/>
      <c r="D784" s="295" t="s">
        <v>1149</v>
      </c>
      <c r="E784" s="300">
        <v>360437000</v>
      </c>
      <c r="F784" s="300">
        <v>93200233</v>
      </c>
      <c r="G784" s="292"/>
      <c r="H784" s="88"/>
      <c r="I784" s="88"/>
      <c r="J784" s="293"/>
      <c r="K784" s="88"/>
      <c r="L784" s="88"/>
      <c r="M784" s="88"/>
      <c r="N784" s="294"/>
      <c r="O784" s="88"/>
      <c r="P784" s="88"/>
      <c r="Q784" s="88"/>
      <c r="R784" s="88"/>
      <c r="S784" s="88"/>
      <c r="T784" s="88"/>
      <c r="U784" s="88"/>
      <c r="V784" s="88"/>
      <c r="W784" s="88"/>
      <c r="X784" s="88"/>
      <c r="Y784" s="88"/>
      <c r="Z784" s="88"/>
      <c r="AA784" s="88"/>
      <c r="AB784" s="88"/>
      <c r="AC784" s="88"/>
      <c r="AD784" s="88"/>
      <c r="AE784" s="88"/>
      <c r="AF784" s="88"/>
      <c r="AG784" s="88"/>
      <c r="AH784" s="88"/>
    </row>
    <row r="785" spans="1:34" ht="69.75" customHeight="1" x14ac:dyDescent="0.25">
      <c r="A785" s="948"/>
      <c r="B785" s="733"/>
      <c r="C785" s="733"/>
      <c r="D785" s="295" t="s">
        <v>891</v>
      </c>
      <c r="E785" s="302">
        <v>1275635000</v>
      </c>
      <c r="F785" s="300">
        <v>137100901</v>
      </c>
      <c r="G785" s="298"/>
      <c r="H785" s="88"/>
      <c r="I785" s="88"/>
      <c r="J785" s="293"/>
      <c r="K785" s="88"/>
      <c r="L785" s="88"/>
      <c r="M785" s="88"/>
      <c r="N785" s="294"/>
      <c r="O785" s="88"/>
      <c r="P785" s="88"/>
      <c r="Q785" s="88"/>
      <c r="R785" s="88"/>
      <c r="S785" s="88"/>
      <c r="T785" s="88"/>
      <c r="U785" s="88"/>
      <c r="V785" s="88"/>
      <c r="W785" s="88"/>
      <c r="X785" s="88"/>
      <c r="Y785" s="88"/>
      <c r="Z785" s="88"/>
      <c r="AA785" s="88"/>
      <c r="AB785" s="88"/>
      <c r="AC785" s="88"/>
      <c r="AD785" s="88"/>
      <c r="AE785" s="88"/>
      <c r="AF785" s="88"/>
      <c r="AG785" s="88"/>
      <c r="AH785" s="88"/>
    </row>
    <row r="786" spans="1:34" ht="69.75" customHeight="1" x14ac:dyDescent="0.25">
      <c r="A786" s="948"/>
      <c r="B786" s="30" t="s">
        <v>971</v>
      </c>
      <c r="C786" s="30" t="s">
        <v>972</v>
      </c>
      <c r="D786" s="295" t="s">
        <v>1150</v>
      </c>
      <c r="E786" s="300">
        <v>370000000</v>
      </c>
      <c r="F786" s="300">
        <v>109382134</v>
      </c>
      <c r="G786" s="292"/>
      <c r="H786" s="88"/>
      <c r="I786" s="88"/>
      <c r="J786" s="293"/>
      <c r="K786" s="88"/>
      <c r="L786" s="88"/>
      <c r="M786" s="88"/>
      <c r="N786" s="294"/>
      <c r="O786" s="88"/>
      <c r="P786" s="88"/>
      <c r="Q786" s="88"/>
      <c r="R786" s="88"/>
      <c r="S786" s="88"/>
      <c r="T786" s="88"/>
      <c r="U786" s="88"/>
      <c r="V786" s="88"/>
      <c r="W786" s="88"/>
      <c r="X786" s="88"/>
      <c r="Y786" s="88"/>
      <c r="Z786" s="88"/>
      <c r="AA786" s="88"/>
      <c r="AB786" s="88"/>
      <c r="AC786" s="88"/>
      <c r="AD786" s="88"/>
      <c r="AE786" s="88"/>
      <c r="AF786" s="88"/>
      <c r="AG786" s="88"/>
      <c r="AH786" s="88"/>
    </row>
    <row r="787" spans="1:34" ht="69.75" customHeight="1" x14ac:dyDescent="0.25">
      <c r="A787" s="953"/>
      <c r="B787" s="30" t="s">
        <v>975</v>
      </c>
      <c r="C787" s="30" t="s">
        <v>976</v>
      </c>
      <c r="D787" s="295" t="s">
        <v>381</v>
      </c>
      <c r="E787" s="300">
        <v>783421000</v>
      </c>
      <c r="F787" s="300">
        <v>206290673.69597262</v>
      </c>
      <c r="G787" s="292"/>
      <c r="H787" s="88"/>
      <c r="I787" s="88"/>
      <c r="J787" s="293"/>
      <c r="K787" s="88"/>
      <c r="L787" s="88"/>
      <c r="M787" s="88"/>
      <c r="N787" s="294"/>
      <c r="O787" s="88"/>
      <c r="P787" s="88"/>
      <c r="Q787" s="88"/>
      <c r="R787" s="88"/>
      <c r="S787" s="88"/>
      <c r="T787" s="88"/>
      <c r="U787" s="88"/>
      <c r="V787" s="88"/>
      <c r="W787" s="88"/>
      <c r="X787" s="88"/>
      <c r="Y787" s="88"/>
      <c r="Z787" s="88"/>
      <c r="AA787" s="88"/>
      <c r="AB787" s="88"/>
      <c r="AC787" s="88"/>
      <c r="AD787" s="88"/>
      <c r="AE787" s="88"/>
      <c r="AF787" s="88"/>
      <c r="AG787" s="88"/>
      <c r="AH787" s="88"/>
    </row>
    <row r="788" spans="1:34" ht="69.75" customHeight="1" x14ac:dyDescent="0.25">
      <c r="A788" s="967" t="s">
        <v>931</v>
      </c>
      <c r="B788" s="978" t="s">
        <v>963</v>
      </c>
      <c r="C788" s="978" t="s">
        <v>964</v>
      </c>
      <c r="D788" s="308" t="s">
        <v>344</v>
      </c>
      <c r="E788" s="301">
        <v>863387067</v>
      </c>
      <c r="F788" s="301">
        <v>333382824.32269967</v>
      </c>
      <c r="G788" s="309"/>
      <c r="H788" s="80"/>
      <c r="I788" s="80"/>
      <c r="J788" s="310"/>
      <c r="K788" s="80"/>
      <c r="L788" s="80"/>
      <c r="M788" s="80"/>
      <c r="N788" s="49"/>
      <c r="O788" s="80"/>
      <c r="P788" s="80"/>
      <c r="Q788" s="80"/>
      <c r="R788" s="80"/>
      <c r="S788" s="80"/>
      <c r="T788" s="80"/>
      <c r="U788" s="80"/>
      <c r="V788" s="80"/>
      <c r="W788" s="80"/>
      <c r="X788" s="80"/>
      <c r="Y788" s="80"/>
      <c r="Z788" s="80"/>
      <c r="AA788" s="80"/>
      <c r="AB788" s="80"/>
      <c r="AC788" s="80"/>
      <c r="AD788" s="80"/>
      <c r="AE788" s="80"/>
      <c r="AF788" s="80"/>
      <c r="AG788" s="80"/>
      <c r="AH788" s="80"/>
    </row>
    <row r="789" spans="1:34" ht="69.75" customHeight="1" x14ac:dyDescent="0.25">
      <c r="A789" s="948"/>
      <c r="B789" s="694"/>
      <c r="C789" s="694"/>
      <c r="D789" s="308" t="s">
        <v>355</v>
      </c>
      <c r="E789" s="301">
        <v>171679000</v>
      </c>
      <c r="F789" s="301">
        <v>50262600</v>
      </c>
      <c r="G789" s="309"/>
      <c r="H789" s="80"/>
      <c r="I789" s="80"/>
      <c r="J789" s="310"/>
      <c r="K789" s="80"/>
      <c r="L789" s="80"/>
      <c r="M789" s="80"/>
      <c r="N789" s="49"/>
      <c r="O789" s="80"/>
      <c r="P789" s="80"/>
      <c r="Q789" s="80"/>
      <c r="R789" s="80"/>
      <c r="S789" s="80"/>
      <c r="T789" s="80"/>
      <c r="U789" s="80"/>
      <c r="V789" s="80"/>
      <c r="W789" s="80"/>
      <c r="X789" s="80"/>
      <c r="Y789" s="80"/>
      <c r="Z789" s="80"/>
      <c r="AA789" s="80"/>
      <c r="AB789" s="80"/>
      <c r="AC789" s="80"/>
      <c r="AD789" s="80"/>
      <c r="AE789" s="80"/>
      <c r="AF789" s="80"/>
      <c r="AG789" s="80"/>
      <c r="AH789" s="80"/>
    </row>
    <row r="790" spans="1:34" ht="69.75" customHeight="1" x14ac:dyDescent="0.25">
      <c r="A790" s="948"/>
      <c r="B790" s="733"/>
      <c r="C790" s="733"/>
      <c r="D790" s="308" t="s">
        <v>358</v>
      </c>
      <c r="E790" s="301">
        <v>36120000</v>
      </c>
      <c r="F790" s="301">
        <v>14849333</v>
      </c>
      <c r="G790" s="309"/>
      <c r="H790" s="80"/>
      <c r="I790" s="80"/>
      <c r="J790" s="310"/>
      <c r="K790" s="80"/>
      <c r="L790" s="80"/>
      <c r="M790" s="80"/>
      <c r="N790" s="49"/>
      <c r="O790" s="80"/>
      <c r="P790" s="80"/>
      <c r="Q790" s="80"/>
      <c r="R790" s="80"/>
      <c r="S790" s="80"/>
      <c r="T790" s="80"/>
      <c r="U790" s="80"/>
      <c r="V790" s="80"/>
      <c r="W790" s="80"/>
      <c r="X790" s="80"/>
      <c r="Y790" s="80"/>
      <c r="Z790" s="80"/>
      <c r="AA790" s="80"/>
      <c r="AB790" s="80"/>
      <c r="AC790" s="80"/>
      <c r="AD790" s="80"/>
      <c r="AE790" s="80"/>
      <c r="AF790" s="80"/>
      <c r="AG790" s="80"/>
      <c r="AH790" s="80"/>
    </row>
    <row r="791" spans="1:34" ht="69.75" customHeight="1" x14ac:dyDescent="0.25">
      <c r="A791" s="948"/>
      <c r="B791" s="977" t="s">
        <v>967</v>
      </c>
      <c r="C791" s="977" t="s">
        <v>968</v>
      </c>
      <c r="D791" s="311" t="s">
        <v>362</v>
      </c>
      <c r="E791" s="301">
        <v>88955534</v>
      </c>
      <c r="F791" s="301">
        <v>35999600</v>
      </c>
      <c r="G791" s="309"/>
      <c r="H791" s="80"/>
      <c r="I791" s="80"/>
      <c r="J791" s="310"/>
      <c r="K791" s="80"/>
      <c r="L791" s="80"/>
      <c r="M791" s="80"/>
      <c r="N791" s="49"/>
      <c r="O791" s="80"/>
      <c r="P791" s="80"/>
      <c r="Q791" s="80"/>
      <c r="R791" s="80"/>
      <c r="S791" s="80"/>
      <c r="T791" s="80"/>
      <c r="U791" s="80"/>
      <c r="V791" s="80"/>
      <c r="W791" s="80"/>
      <c r="X791" s="80"/>
      <c r="Y791" s="80"/>
      <c r="Z791" s="80"/>
      <c r="AA791" s="80"/>
      <c r="AB791" s="80"/>
      <c r="AC791" s="80"/>
      <c r="AD791" s="80"/>
      <c r="AE791" s="80"/>
      <c r="AF791" s="80"/>
      <c r="AG791" s="80"/>
      <c r="AH791" s="80"/>
    </row>
    <row r="792" spans="1:34" ht="69.75" customHeight="1" x14ac:dyDescent="0.25">
      <c r="A792" s="948"/>
      <c r="B792" s="694"/>
      <c r="C792" s="694"/>
      <c r="D792" s="311" t="s">
        <v>1148</v>
      </c>
      <c r="E792" s="301">
        <v>953560100</v>
      </c>
      <c r="F792" s="301">
        <v>260458966</v>
      </c>
      <c r="G792" s="309"/>
      <c r="H792" s="80"/>
      <c r="I792" s="80"/>
      <c r="J792" s="310"/>
      <c r="K792" s="80"/>
      <c r="L792" s="80"/>
      <c r="M792" s="80"/>
      <c r="N792" s="49"/>
      <c r="O792" s="80"/>
      <c r="P792" s="80"/>
      <c r="Q792" s="80"/>
      <c r="R792" s="80"/>
      <c r="S792" s="80"/>
      <c r="T792" s="80"/>
      <c r="U792" s="80"/>
      <c r="V792" s="80"/>
      <c r="W792" s="80"/>
      <c r="X792" s="80"/>
      <c r="Y792" s="80"/>
      <c r="Z792" s="80"/>
      <c r="AA792" s="80"/>
      <c r="AB792" s="80"/>
      <c r="AC792" s="80"/>
      <c r="AD792" s="80"/>
      <c r="AE792" s="80"/>
      <c r="AF792" s="80"/>
      <c r="AG792" s="80"/>
      <c r="AH792" s="80"/>
    </row>
    <row r="793" spans="1:34" ht="69.75" customHeight="1" x14ac:dyDescent="0.25">
      <c r="A793" s="948"/>
      <c r="B793" s="694"/>
      <c r="C793" s="694"/>
      <c r="D793" s="311" t="s">
        <v>1149</v>
      </c>
      <c r="E793" s="301">
        <v>332536800</v>
      </c>
      <c r="F793" s="301">
        <v>127636233</v>
      </c>
      <c r="G793" s="309"/>
      <c r="H793" s="80"/>
      <c r="I793" s="80"/>
      <c r="J793" s="310"/>
      <c r="K793" s="80"/>
      <c r="L793" s="80"/>
      <c r="M793" s="80"/>
      <c r="N793" s="49"/>
      <c r="O793" s="80"/>
      <c r="P793" s="80"/>
      <c r="Q793" s="80"/>
      <c r="R793" s="80"/>
      <c r="S793" s="80"/>
      <c r="T793" s="80"/>
      <c r="U793" s="80"/>
      <c r="V793" s="80"/>
      <c r="W793" s="80"/>
      <c r="X793" s="80"/>
      <c r="Y793" s="80"/>
      <c r="Z793" s="80"/>
      <c r="AA793" s="80"/>
      <c r="AB793" s="80"/>
      <c r="AC793" s="80"/>
      <c r="AD793" s="80"/>
      <c r="AE793" s="80"/>
      <c r="AF793" s="80"/>
      <c r="AG793" s="80"/>
      <c r="AH793" s="80"/>
    </row>
    <row r="794" spans="1:34" ht="69.75" customHeight="1" x14ac:dyDescent="0.25">
      <c r="A794" s="948"/>
      <c r="B794" s="733"/>
      <c r="C794" s="733"/>
      <c r="D794" s="311" t="s">
        <v>891</v>
      </c>
      <c r="E794" s="312">
        <v>1245633499</v>
      </c>
      <c r="F794" s="301">
        <v>180467901</v>
      </c>
      <c r="G794" s="313"/>
      <c r="H794" s="80"/>
      <c r="I794" s="80"/>
      <c r="J794" s="310"/>
      <c r="K794" s="80"/>
      <c r="L794" s="80"/>
      <c r="M794" s="80"/>
      <c r="N794" s="49"/>
      <c r="O794" s="80"/>
      <c r="P794" s="80"/>
      <c r="Q794" s="80"/>
      <c r="R794" s="80"/>
      <c r="S794" s="80"/>
      <c r="T794" s="80"/>
      <c r="U794" s="80"/>
      <c r="V794" s="80"/>
      <c r="W794" s="80"/>
      <c r="X794" s="80"/>
      <c r="Y794" s="80"/>
      <c r="Z794" s="80"/>
      <c r="AA794" s="80"/>
      <c r="AB794" s="80"/>
      <c r="AC794" s="80"/>
      <c r="AD794" s="80"/>
      <c r="AE794" s="80"/>
      <c r="AF794" s="80"/>
      <c r="AG794" s="80"/>
      <c r="AH794" s="80"/>
    </row>
    <row r="795" spans="1:34" ht="69.75" customHeight="1" x14ac:dyDescent="0.25">
      <c r="A795" s="948"/>
      <c r="B795" s="259" t="s">
        <v>971</v>
      </c>
      <c r="C795" s="259" t="s">
        <v>972</v>
      </c>
      <c r="D795" s="311" t="s">
        <v>1150</v>
      </c>
      <c r="E795" s="301">
        <v>370000000</v>
      </c>
      <c r="F795" s="301">
        <v>142593134</v>
      </c>
      <c r="G795" s="309"/>
      <c r="H795" s="80"/>
      <c r="I795" s="80"/>
      <c r="J795" s="310"/>
      <c r="K795" s="80"/>
      <c r="L795" s="80"/>
      <c r="M795" s="80"/>
      <c r="N795" s="49"/>
      <c r="O795" s="80"/>
      <c r="P795" s="80"/>
      <c r="Q795" s="80"/>
      <c r="R795" s="80"/>
      <c r="S795" s="80"/>
      <c r="T795" s="80"/>
      <c r="U795" s="80"/>
      <c r="V795" s="80"/>
      <c r="W795" s="80"/>
      <c r="X795" s="80"/>
      <c r="Y795" s="80"/>
      <c r="Z795" s="80"/>
      <c r="AA795" s="80"/>
      <c r="AB795" s="80"/>
      <c r="AC795" s="80"/>
      <c r="AD795" s="80"/>
      <c r="AE795" s="80"/>
      <c r="AF795" s="80"/>
      <c r="AG795" s="80"/>
      <c r="AH795" s="80"/>
    </row>
    <row r="796" spans="1:34" ht="69.75" customHeight="1" x14ac:dyDescent="0.25">
      <c r="A796" s="953"/>
      <c r="B796" s="259" t="s">
        <v>975</v>
      </c>
      <c r="C796" s="259" t="s">
        <v>976</v>
      </c>
      <c r="D796" s="311" t="s">
        <v>381</v>
      </c>
      <c r="E796" s="301">
        <v>783421000</v>
      </c>
      <c r="F796" s="301">
        <v>281964378.67730033</v>
      </c>
      <c r="G796" s="309"/>
      <c r="H796" s="80"/>
      <c r="I796" s="80"/>
      <c r="J796" s="310"/>
      <c r="K796" s="80"/>
      <c r="L796" s="80"/>
      <c r="M796" s="80"/>
      <c r="N796" s="49"/>
      <c r="O796" s="80"/>
      <c r="P796" s="80"/>
      <c r="Q796" s="80"/>
      <c r="R796" s="80"/>
      <c r="S796" s="80"/>
      <c r="T796" s="80"/>
      <c r="U796" s="80"/>
      <c r="V796" s="80"/>
      <c r="W796" s="80"/>
      <c r="X796" s="80"/>
      <c r="Y796" s="80"/>
      <c r="Z796" s="80"/>
      <c r="AA796" s="80"/>
      <c r="AB796" s="80"/>
      <c r="AC796" s="80"/>
      <c r="AD796" s="80"/>
      <c r="AE796" s="80"/>
      <c r="AF796" s="80"/>
      <c r="AG796" s="80"/>
      <c r="AH796" s="80"/>
    </row>
    <row r="797" spans="1:34" ht="69.75" customHeight="1" x14ac:dyDescent="0.25">
      <c r="A797" s="952" t="s">
        <v>932</v>
      </c>
      <c r="B797" s="957" t="s">
        <v>963</v>
      </c>
      <c r="C797" s="957" t="s">
        <v>964</v>
      </c>
      <c r="D797" s="290" t="s">
        <v>344</v>
      </c>
      <c r="E797" s="300">
        <v>863387067</v>
      </c>
      <c r="F797" s="300">
        <v>427631998</v>
      </c>
      <c r="G797" s="292"/>
      <c r="H797" s="88"/>
      <c r="I797" s="88"/>
      <c r="J797" s="293"/>
      <c r="K797" s="88"/>
      <c r="L797" s="88"/>
      <c r="M797" s="88"/>
      <c r="N797" s="294"/>
      <c r="O797" s="88"/>
      <c r="P797" s="88"/>
      <c r="Q797" s="88"/>
      <c r="R797" s="88"/>
      <c r="S797" s="88"/>
      <c r="T797" s="88"/>
      <c r="U797" s="88"/>
      <c r="V797" s="88"/>
      <c r="W797" s="88"/>
      <c r="X797" s="88"/>
      <c r="Y797" s="88"/>
      <c r="Z797" s="88"/>
      <c r="AA797" s="88"/>
      <c r="AB797" s="88"/>
      <c r="AC797" s="88"/>
      <c r="AD797" s="88"/>
      <c r="AE797" s="88"/>
      <c r="AF797" s="88"/>
      <c r="AG797" s="88"/>
      <c r="AH797" s="88"/>
    </row>
    <row r="798" spans="1:34" ht="69.75" customHeight="1" x14ac:dyDescent="0.25">
      <c r="A798" s="948"/>
      <c r="B798" s="694"/>
      <c r="C798" s="694"/>
      <c r="D798" s="290" t="s">
        <v>355</v>
      </c>
      <c r="E798" s="300">
        <v>171679000</v>
      </c>
      <c r="F798" s="300">
        <v>63489600</v>
      </c>
      <c r="G798" s="292"/>
      <c r="H798" s="88"/>
      <c r="I798" s="88"/>
      <c r="J798" s="293"/>
      <c r="K798" s="88"/>
      <c r="L798" s="88"/>
      <c r="M798" s="88"/>
      <c r="N798" s="294"/>
      <c r="O798" s="88"/>
      <c r="P798" s="88"/>
      <c r="Q798" s="88"/>
      <c r="R798" s="88"/>
      <c r="S798" s="88"/>
      <c r="T798" s="88"/>
      <c r="U798" s="88"/>
      <c r="V798" s="88"/>
      <c r="W798" s="88"/>
      <c r="X798" s="88"/>
      <c r="Y798" s="88"/>
      <c r="Z798" s="88"/>
      <c r="AA798" s="88"/>
      <c r="AB798" s="88"/>
      <c r="AC798" s="88"/>
      <c r="AD798" s="88"/>
      <c r="AE798" s="88"/>
      <c r="AF798" s="88"/>
      <c r="AG798" s="88"/>
      <c r="AH798" s="88"/>
    </row>
    <row r="799" spans="1:34" ht="69.75" customHeight="1" x14ac:dyDescent="0.25">
      <c r="A799" s="948"/>
      <c r="B799" s="733"/>
      <c r="C799" s="733"/>
      <c r="D799" s="290" t="s">
        <v>358</v>
      </c>
      <c r="E799" s="300">
        <v>36120000</v>
      </c>
      <c r="F799" s="300">
        <v>17859333</v>
      </c>
      <c r="G799" s="292"/>
      <c r="H799" s="88"/>
      <c r="I799" s="88"/>
      <c r="J799" s="293"/>
      <c r="K799" s="88"/>
      <c r="L799" s="88"/>
      <c r="M799" s="88"/>
      <c r="N799" s="294"/>
      <c r="O799" s="88"/>
      <c r="P799" s="88"/>
      <c r="Q799" s="88"/>
      <c r="R799" s="88"/>
      <c r="S799" s="88"/>
      <c r="T799" s="88"/>
      <c r="U799" s="88"/>
      <c r="V799" s="88"/>
      <c r="W799" s="88"/>
      <c r="X799" s="88"/>
      <c r="Y799" s="88"/>
      <c r="Z799" s="88"/>
      <c r="AA799" s="88"/>
      <c r="AB799" s="88"/>
      <c r="AC799" s="88"/>
      <c r="AD799" s="88"/>
      <c r="AE799" s="88"/>
      <c r="AF799" s="88"/>
      <c r="AG799" s="88"/>
      <c r="AH799" s="88"/>
    </row>
    <row r="800" spans="1:34" ht="69.75" customHeight="1" x14ac:dyDescent="0.25">
      <c r="A800" s="948"/>
      <c r="B800" s="965" t="s">
        <v>967</v>
      </c>
      <c r="C800" s="965" t="s">
        <v>968</v>
      </c>
      <c r="D800" s="295" t="s">
        <v>362</v>
      </c>
      <c r="E800" s="300">
        <v>88955534</v>
      </c>
      <c r="F800" s="300">
        <v>43825600</v>
      </c>
      <c r="G800" s="292"/>
      <c r="H800" s="88"/>
      <c r="I800" s="88"/>
      <c r="J800" s="293"/>
      <c r="K800" s="88"/>
      <c r="L800" s="88"/>
      <c r="M800" s="88"/>
      <c r="N800" s="294"/>
      <c r="O800" s="88"/>
      <c r="P800" s="88"/>
      <c r="Q800" s="88"/>
      <c r="R800" s="88"/>
      <c r="S800" s="88"/>
      <c r="T800" s="88"/>
      <c r="U800" s="88"/>
      <c r="V800" s="88"/>
      <c r="W800" s="88"/>
      <c r="X800" s="88"/>
      <c r="Y800" s="88"/>
      <c r="Z800" s="88"/>
      <c r="AA800" s="88"/>
      <c r="AB800" s="88"/>
      <c r="AC800" s="88"/>
      <c r="AD800" s="88"/>
      <c r="AE800" s="88"/>
      <c r="AF800" s="88"/>
      <c r="AG800" s="88"/>
      <c r="AH800" s="88"/>
    </row>
    <row r="801" spans="1:34" ht="69.75" customHeight="1" x14ac:dyDescent="0.25">
      <c r="A801" s="948"/>
      <c r="B801" s="694"/>
      <c r="C801" s="694"/>
      <c r="D801" s="295" t="s">
        <v>1148</v>
      </c>
      <c r="E801" s="300">
        <v>953560100</v>
      </c>
      <c r="F801" s="300">
        <v>313165166</v>
      </c>
      <c r="G801" s="292"/>
      <c r="H801" s="88"/>
      <c r="I801" s="88"/>
      <c r="J801" s="293"/>
      <c r="K801" s="88"/>
      <c r="L801" s="88"/>
      <c r="M801" s="88"/>
      <c r="N801" s="294"/>
      <c r="O801" s="88"/>
      <c r="P801" s="88"/>
      <c r="Q801" s="88"/>
      <c r="R801" s="88"/>
      <c r="S801" s="88"/>
      <c r="T801" s="88"/>
      <c r="U801" s="88"/>
      <c r="V801" s="88"/>
      <c r="W801" s="88"/>
      <c r="X801" s="88"/>
      <c r="Y801" s="88"/>
      <c r="Z801" s="88"/>
      <c r="AA801" s="88"/>
      <c r="AB801" s="88"/>
      <c r="AC801" s="88"/>
      <c r="AD801" s="88"/>
      <c r="AE801" s="88"/>
      <c r="AF801" s="88"/>
      <c r="AG801" s="88"/>
      <c r="AH801" s="88"/>
    </row>
    <row r="802" spans="1:34" ht="69.75" customHeight="1" x14ac:dyDescent="0.25">
      <c r="A802" s="948"/>
      <c r="B802" s="694"/>
      <c r="C802" s="694"/>
      <c r="D802" s="295" t="s">
        <v>1149</v>
      </c>
      <c r="E802" s="300">
        <v>332536800</v>
      </c>
      <c r="F802" s="300">
        <v>163241233</v>
      </c>
      <c r="G802" s="292"/>
      <c r="H802" s="88"/>
      <c r="I802" s="88"/>
      <c r="J802" s="293"/>
      <c r="K802" s="88"/>
      <c r="L802" s="88"/>
      <c r="M802" s="88"/>
      <c r="N802" s="294"/>
      <c r="O802" s="88"/>
      <c r="P802" s="88"/>
      <c r="Q802" s="88"/>
      <c r="R802" s="88"/>
      <c r="S802" s="88"/>
      <c r="T802" s="88"/>
      <c r="U802" s="88"/>
      <c r="V802" s="88"/>
      <c r="W802" s="88"/>
      <c r="X802" s="88"/>
      <c r="Y802" s="88"/>
      <c r="Z802" s="88"/>
      <c r="AA802" s="88"/>
      <c r="AB802" s="88"/>
      <c r="AC802" s="88"/>
      <c r="AD802" s="88"/>
      <c r="AE802" s="88"/>
      <c r="AF802" s="88"/>
      <c r="AG802" s="88"/>
      <c r="AH802" s="88"/>
    </row>
    <row r="803" spans="1:34" ht="69.75" customHeight="1" x14ac:dyDescent="0.25">
      <c r="A803" s="948"/>
      <c r="B803" s="733"/>
      <c r="C803" s="733"/>
      <c r="D803" s="295" t="s">
        <v>891</v>
      </c>
      <c r="E803" s="302">
        <v>1245633499</v>
      </c>
      <c r="F803" s="300">
        <v>223834901</v>
      </c>
      <c r="G803" s="298"/>
      <c r="H803" s="88"/>
      <c r="I803" s="88"/>
      <c r="J803" s="293"/>
      <c r="K803" s="88"/>
      <c r="L803" s="88"/>
      <c r="M803" s="88"/>
      <c r="N803" s="294"/>
      <c r="O803" s="88"/>
      <c r="P803" s="88"/>
      <c r="Q803" s="88"/>
      <c r="R803" s="88"/>
      <c r="S803" s="88"/>
      <c r="T803" s="88"/>
      <c r="U803" s="88"/>
      <c r="V803" s="88"/>
      <c r="W803" s="88"/>
      <c r="X803" s="88"/>
      <c r="Y803" s="88"/>
      <c r="Z803" s="88"/>
      <c r="AA803" s="88"/>
      <c r="AB803" s="88"/>
      <c r="AC803" s="88"/>
      <c r="AD803" s="88"/>
      <c r="AE803" s="88"/>
      <c r="AF803" s="88"/>
      <c r="AG803" s="88"/>
      <c r="AH803" s="88"/>
    </row>
    <row r="804" spans="1:34" ht="69.75" customHeight="1" x14ac:dyDescent="0.25">
      <c r="A804" s="948"/>
      <c r="B804" s="30" t="s">
        <v>971</v>
      </c>
      <c r="C804" s="30" t="s">
        <v>972</v>
      </c>
      <c r="D804" s="295" t="s">
        <v>1150</v>
      </c>
      <c r="E804" s="300">
        <v>370000000</v>
      </c>
      <c r="F804" s="300">
        <v>175804134</v>
      </c>
      <c r="G804" s="292"/>
      <c r="H804" s="88"/>
      <c r="I804" s="88"/>
      <c r="J804" s="293"/>
      <c r="K804" s="88"/>
      <c r="L804" s="88"/>
      <c r="M804" s="88"/>
      <c r="N804" s="294"/>
      <c r="O804" s="88"/>
      <c r="P804" s="88"/>
      <c r="Q804" s="88"/>
      <c r="R804" s="88"/>
      <c r="S804" s="88"/>
      <c r="T804" s="88"/>
      <c r="U804" s="88"/>
      <c r="V804" s="88"/>
      <c r="W804" s="88"/>
      <c r="X804" s="88"/>
      <c r="Y804" s="88"/>
      <c r="Z804" s="88"/>
      <c r="AA804" s="88"/>
      <c r="AB804" s="88"/>
      <c r="AC804" s="88"/>
      <c r="AD804" s="88"/>
      <c r="AE804" s="88"/>
      <c r="AF804" s="88"/>
      <c r="AG804" s="88"/>
      <c r="AH804" s="88"/>
    </row>
    <row r="805" spans="1:34" ht="69.75" customHeight="1" x14ac:dyDescent="0.25">
      <c r="A805" s="953"/>
      <c r="B805" s="30" t="s">
        <v>975</v>
      </c>
      <c r="C805" s="30" t="s">
        <v>976</v>
      </c>
      <c r="D805" s="295" t="s">
        <v>381</v>
      </c>
      <c r="E805" s="300">
        <v>783421000</v>
      </c>
      <c r="F805" s="300">
        <v>360609235</v>
      </c>
      <c r="G805" s="292"/>
      <c r="H805" s="88"/>
      <c r="I805" s="88"/>
      <c r="J805" s="293"/>
      <c r="K805" s="88"/>
      <c r="L805" s="88"/>
      <c r="M805" s="88"/>
      <c r="N805" s="294"/>
      <c r="O805" s="88"/>
      <c r="P805" s="88"/>
      <c r="Q805" s="88"/>
      <c r="R805" s="88"/>
      <c r="S805" s="88"/>
      <c r="T805" s="88"/>
      <c r="U805" s="88"/>
      <c r="V805" s="88"/>
      <c r="W805" s="88"/>
      <c r="X805" s="88"/>
      <c r="Y805" s="88"/>
      <c r="Z805" s="88"/>
      <c r="AA805" s="88"/>
      <c r="AB805" s="88"/>
      <c r="AC805" s="88"/>
      <c r="AD805" s="88"/>
      <c r="AE805" s="88"/>
      <c r="AF805" s="88"/>
      <c r="AG805" s="88"/>
      <c r="AH805" s="88"/>
    </row>
    <row r="806" spans="1:34" ht="69.75" customHeight="1" x14ac:dyDescent="0.25">
      <c r="A806" s="967" t="s">
        <v>933</v>
      </c>
      <c r="B806" s="978" t="s">
        <v>963</v>
      </c>
      <c r="C806" s="978" t="s">
        <v>964</v>
      </c>
      <c r="D806" s="308" t="s">
        <v>344</v>
      </c>
      <c r="E806" s="301">
        <v>863387067</v>
      </c>
      <c r="F806" s="301">
        <v>511259965</v>
      </c>
      <c r="G806" s="309"/>
      <c r="H806" s="80"/>
      <c r="I806" s="80"/>
      <c r="J806" s="310"/>
      <c r="K806" s="80"/>
      <c r="L806" s="80"/>
      <c r="M806" s="80"/>
      <c r="N806" s="49"/>
      <c r="O806" s="80"/>
      <c r="P806" s="80"/>
      <c r="Q806" s="80"/>
      <c r="R806" s="80"/>
      <c r="S806" s="80"/>
      <c r="T806" s="80"/>
      <c r="U806" s="80"/>
      <c r="V806" s="80"/>
      <c r="W806" s="80"/>
      <c r="X806" s="80"/>
      <c r="Y806" s="80"/>
      <c r="Z806" s="80"/>
      <c r="AA806" s="80"/>
      <c r="AB806" s="80"/>
      <c r="AC806" s="80"/>
      <c r="AD806" s="80"/>
      <c r="AE806" s="80"/>
      <c r="AF806" s="80"/>
      <c r="AG806" s="80"/>
      <c r="AH806" s="80"/>
    </row>
    <row r="807" spans="1:34" ht="69.75" customHeight="1" x14ac:dyDescent="0.25">
      <c r="A807" s="948"/>
      <c r="B807" s="694"/>
      <c r="C807" s="694"/>
      <c r="D807" s="308" t="s">
        <v>355</v>
      </c>
      <c r="E807" s="301">
        <v>171679000</v>
      </c>
      <c r="F807" s="301">
        <v>72307600</v>
      </c>
      <c r="G807" s="309"/>
      <c r="H807" s="80"/>
      <c r="I807" s="80"/>
      <c r="J807" s="310"/>
      <c r="K807" s="80"/>
      <c r="L807" s="80"/>
      <c r="M807" s="80"/>
      <c r="N807" s="49"/>
      <c r="O807" s="80"/>
      <c r="P807" s="80"/>
      <c r="Q807" s="80"/>
      <c r="R807" s="80"/>
      <c r="S807" s="80"/>
      <c r="T807" s="80"/>
      <c r="U807" s="80"/>
      <c r="V807" s="80"/>
      <c r="W807" s="80"/>
      <c r="X807" s="80"/>
      <c r="Y807" s="80"/>
      <c r="Z807" s="80"/>
      <c r="AA807" s="80"/>
      <c r="AB807" s="80"/>
      <c r="AC807" s="80"/>
      <c r="AD807" s="80"/>
      <c r="AE807" s="80"/>
      <c r="AF807" s="80"/>
      <c r="AG807" s="80"/>
      <c r="AH807" s="80"/>
    </row>
    <row r="808" spans="1:34" ht="69.75" customHeight="1" x14ac:dyDescent="0.25">
      <c r="A808" s="948"/>
      <c r="B808" s="733"/>
      <c r="C808" s="733"/>
      <c r="D808" s="308" t="s">
        <v>358</v>
      </c>
      <c r="E808" s="301">
        <v>36120000</v>
      </c>
      <c r="F808" s="301">
        <v>20869333</v>
      </c>
      <c r="G808" s="309"/>
      <c r="H808" s="80"/>
      <c r="I808" s="80"/>
      <c r="J808" s="310"/>
      <c r="K808" s="80"/>
      <c r="L808" s="80"/>
      <c r="M808" s="80"/>
      <c r="N808" s="49"/>
      <c r="O808" s="80"/>
      <c r="P808" s="80"/>
      <c r="Q808" s="80"/>
      <c r="R808" s="80"/>
      <c r="S808" s="80"/>
      <c r="T808" s="80"/>
      <c r="U808" s="80"/>
      <c r="V808" s="80"/>
      <c r="W808" s="80"/>
      <c r="X808" s="80"/>
      <c r="Y808" s="80"/>
      <c r="Z808" s="80"/>
      <c r="AA808" s="80"/>
      <c r="AB808" s="80"/>
      <c r="AC808" s="80"/>
      <c r="AD808" s="80"/>
      <c r="AE808" s="80"/>
      <c r="AF808" s="80"/>
      <c r="AG808" s="80"/>
      <c r="AH808" s="80"/>
    </row>
    <row r="809" spans="1:34" ht="69.75" customHeight="1" x14ac:dyDescent="0.25">
      <c r="A809" s="948"/>
      <c r="B809" s="977" t="s">
        <v>967</v>
      </c>
      <c r="C809" s="977" t="s">
        <v>968</v>
      </c>
      <c r="D809" s="311" t="s">
        <v>362</v>
      </c>
      <c r="E809" s="301">
        <v>88955534</v>
      </c>
      <c r="F809" s="301">
        <v>51651600</v>
      </c>
      <c r="G809" s="309"/>
      <c r="H809" s="80"/>
      <c r="I809" s="80"/>
      <c r="J809" s="310"/>
      <c r="K809" s="80"/>
      <c r="L809" s="80"/>
      <c r="M809" s="80"/>
      <c r="N809" s="49"/>
      <c r="O809" s="80"/>
      <c r="P809" s="80"/>
      <c r="Q809" s="80"/>
      <c r="R809" s="80"/>
      <c r="S809" s="80"/>
      <c r="T809" s="80"/>
      <c r="U809" s="80"/>
      <c r="V809" s="80"/>
      <c r="W809" s="80"/>
      <c r="X809" s="80"/>
      <c r="Y809" s="80"/>
      <c r="Z809" s="80"/>
      <c r="AA809" s="80"/>
      <c r="AB809" s="80"/>
      <c r="AC809" s="80"/>
      <c r="AD809" s="80"/>
      <c r="AE809" s="80"/>
      <c r="AF809" s="80"/>
      <c r="AG809" s="80"/>
      <c r="AH809" s="80"/>
    </row>
    <row r="810" spans="1:34" ht="69.75" customHeight="1" x14ac:dyDescent="0.25">
      <c r="A810" s="948"/>
      <c r="B810" s="694"/>
      <c r="C810" s="694"/>
      <c r="D810" s="311" t="s">
        <v>1148</v>
      </c>
      <c r="E810" s="301">
        <v>953560100</v>
      </c>
      <c r="F810" s="301">
        <v>378522267</v>
      </c>
      <c r="G810" s="309"/>
      <c r="H810" s="80"/>
      <c r="I810" s="80"/>
      <c r="J810" s="310"/>
      <c r="K810" s="80"/>
      <c r="L810" s="80"/>
      <c r="M810" s="80"/>
      <c r="N810" s="49"/>
      <c r="O810" s="80"/>
      <c r="P810" s="80"/>
      <c r="Q810" s="80"/>
      <c r="R810" s="80"/>
      <c r="S810" s="80"/>
      <c r="T810" s="80"/>
      <c r="U810" s="80"/>
      <c r="V810" s="80"/>
      <c r="W810" s="80"/>
      <c r="X810" s="80"/>
      <c r="Y810" s="80"/>
      <c r="Z810" s="80"/>
      <c r="AA810" s="80"/>
      <c r="AB810" s="80"/>
      <c r="AC810" s="80"/>
      <c r="AD810" s="80"/>
      <c r="AE810" s="80"/>
      <c r="AF810" s="80"/>
      <c r="AG810" s="80"/>
      <c r="AH810" s="80"/>
    </row>
    <row r="811" spans="1:34" ht="69.75" customHeight="1" x14ac:dyDescent="0.25">
      <c r="A811" s="948"/>
      <c r="B811" s="694"/>
      <c r="C811" s="694"/>
      <c r="D811" s="311" t="s">
        <v>1149</v>
      </c>
      <c r="E811" s="301">
        <v>332536800</v>
      </c>
      <c r="F811" s="301">
        <v>191832233</v>
      </c>
      <c r="G811" s="309"/>
      <c r="H811" s="80"/>
      <c r="I811" s="80"/>
      <c r="J811" s="310"/>
      <c r="K811" s="80"/>
      <c r="L811" s="80"/>
      <c r="M811" s="80"/>
      <c r="N811" s="49"/>
      <c r="O811" s="80"/>
      <c r="P811" s="80"/>
      <c r="Q811" s="80"/>
      <c r="R811" s="80"/>
      <c r="S811" s="80"/>
      <c r="T811" s="80"/>
      <c r="U811" s="80"/>
      <c r="V811" s="80"/>
      <c r="W811" s="80"/>
      <c r="X811" s="80"/>
      <c r="Y811" s="80"/>
      <c r="Z811" s="80"/>
      <c r="AA811" s="80"/>
      <c r="AB811" s="80"/>
      <c r="AC811" s="80"/>
      <c r="AD811" s="80"/>
      <c r="AE811" s="80"/>
      <c r="AF811" s="80"/>
      <c r="AG811" s="80"/>
      <c r="AH811" s="80"/>
    </row>
    <row r="812" spans="1:34" ht="69.75" customHeight="1" x14ac:dyDescent="0.25">
      <c r="A812" s="948"/>
      <c r="B812" s="733"/>
      <c r="C812" s="733"/>
      <c r="D812" s="311" t="s">
        <v>891</v>
      </c>
      <c r="E812" s="312">
        <v>1245633499</v>
      </c>
      <c r="F812" s="301">
        <v>267201901</v>
      </c>
      <c r="G812" s="313"/>
      <c r="H812" s="80"/>
      <c r="I812" s="80"/>
      <c r="J812" s="310"/>
      <c r="K812" s="80"/>
      <c r="L812" s="80"/>
      <c r="M812" s="80"/>
      <c r="N812" s="49"/>
      <c r="O812" s="80"/>
      <c r="P812" s="80"/>
      <c r="Q812" s="80"/>
      <c r="R812" s="80"/>
      <c r="S812" s="80"/>
      <c r="T812" s="80"/>
      <c r="U812" s="80"/>
      <c r="V812" s="80"/>
      <c r="W812" s="80"/>
      <c r="X812" s="80"/>
      <c r="Y812" s="80"/>
      <c r="Z812" s="80"/>
      <c r="AA812" s="80"/>
      <c r="AB812" s="80"/>
      <c r="AC812" s="80"/>
      <c r="AD812" s="80"/>
      <c r="AE812" s="80"/>
      <c r="AF812" s="80"/>
      <c r="AG812" s="80"/>
      <c r="AH812" s="80"/>
    </row>
    <row r="813" spans="1:34" ht="69.75" customHeight="1" x14ac:dyDescent="0.25">
      <c r="A813" s="948"/>
      <c r="B813" s="259" t="s">
        <v>971</v>
      </c>
      <c r="C813" s="259" t="s">
        <v>972</v>
      </c>
      <c r="D813" s="311" t="s">
        <v>1150</v>
      </c>
      <c r="E813" s="301">
        <v>370000000</v>
      </c>
      <c r="F813" s="301">
        <v>209015134</v>
      </c>
      <c r="G813" s="309"/>
      <c r="H813" s="80"/>
      <c r="I813" s="80"/>
      <c r="J813" s="310"/>
      <c r="K813" s="80"/>
      <c r="L813" s="80"/>
      <c r="M813" s="80"/>
      <c r="N813" s="49"/>
      <c r="O813" s="80"/>
      <c r="P813" s="80"/>
      <c r="Q813" s="80"/>
      <c r="R813" s="80"/>
      <c r="S813" s="80"/>
      <c r="T813" s="80"/>
      <c r="U813" s="80"/>
      <c r="V813" s="80"/>
      <c r="W813" s="80"/>
      <c r="X813" s="80"/>
      <c r="Y813" s="80"/>
      <c r="Z813" s="80"/>
      <c r="AA813" s="80"/>
      <c r="AB813" s="80"/>
      <c r="AC813" s="80"/>
      <c r="AD813" s="80"/>
      <c r="AE813" s="80"/>
      <c r="AF813" s="80"/>
      <c r="AG813" s="80"/>
      <c r="AH813" s="80"/>
    </row>
    <row r="814" spans="1:34" ht="69.75" customHeight="1" x14ac:dyDescent="0.25">
      <c r="A814" s="953"/>
      <c r="B814" s="259" t="s">
        <v>975</v>
      </c>
      <c r="C814" s="259" t="s">
        <v>976</v>
      </c>
      <c r="D814" s="311" t="s">
        <v>381</v>
      </c>
      <c r="E814" s="301">
        <v>783421000</v>
      </c>
      <c r="F814" s="301">
        <v>435656651</v>
      </c>
      <c r="G814" s="309"/>
      <c r="H814" s="80"/>
      <c r="I814" s="80"/>
      <c r="J814" s="310"/>
      <c r="K814" s="80"/>
      <c r="L814" s="80"/>
      <c r="M814" s="80"/>
      <c r="N814" s="49"/>
      <c r="O814" s="80"/>
      <c r="P814" s="80"/>
      <c r="Q814" s="80"/>
      <c r="R814" s="80"/>
      <c r="S814" s="80"/>
      <c r="T814" s="80"/>
      <c r="U814" s="80"/>
      <c r="V814" s="80"/>
      <c r="W814" s="80"/>
      <c r="X814" s="80"/>
      <c r="Y814" s="80"/>
      <c r="Z814" s="80"/>
      <c r="AA814" s="80"/>
      <c r="AB814" s="80"/>
      <c r="AC814" s="80"/>
      <c r="AD814" s="80"/>
      <c r="AE814" s="80"/>
      <c r="AF814" s="80"/>
      <c r="AG814" s="80"/>
      <c r="AH814" s="80"/>
    </row>
    <row r="815" spans="1:34" ht="69.75" customHeight="1" x14ac:dyDescent="0.25">
      <c r="A815" s="967" t="s">
        <v>934</v>
      </c>
      <c r="B815" s="978" t="s">
        <v>963</v>
      </c>
      <c r="C815" s="978" t="s">
        <v>964</v>
      </c>
      <c r="D815" s="308" t="s">
        <v>344</v>
      </c>
      <c r="E815" s="301">
        <v>863387067</v>
      </c>
      <c r="F815" s="301">
        <v>574189351</v>
      </c>
      <c r="G815" s="309"/>
      <c r="H815" s="80"/>
      <c r="I815" s="80"/>
      <c r="J815" s="310"/>
      <c r="K815" s="80"/>
      <c r="L815" s="80"/>
      <c r="M815" s="80"/>
      <c r="N815" s="49"/>
      <c r="O815" s="80"/>
      <c r="P815" s="80"/>
      <c r="Q815" s="80"/>
      <c r="R815" s="80"/>
      <c r="S815" s="80"/>
      <c r="T815" s="80"/>
      <c r="U815" s="80"/>
      <c r="V815" s="80"/>
      <c r="W815" s="80"/>
      <c r="X815" s="80"/>
      <c r="Y815" s="80"/>
      <c r="Z815" s="80"/>
      <c r="AA815" s="80"/>
      <c r="AB815" s="80"/>
      <c r="AC815" s="80"/>
      <c r="AD815" s="80"/>
      <c r="AE815" s="80"/>
      <c r="AF815" s="80"/>
      <c r="AG815" s="80"/>
      <c r="AH815" s="80"/>
    </row>
    <row r="816" spans="1:34" ht="69.75" customHeight="1" x14ac:dyDescent="0.25">
      <c r="A816" s="948"/>
      <c r="B816" s="694"/>
      <c r="C816" s="694"/>
      <c r="D816" s="308" t="s">
        <v>355</v>
      </c>
      <c r="E816" s="301">
        <v>171679000</v>
      </c>
      <c r="F816" s="301">
        <v>85534600</v>
      </c>
      <c r="G816" s="309"/>
      <c r="H816" s="80"/>
      <c r="I816" s="80"/>
      <c r="J816" s="310"/>
      <c r="K816" s="80"/>
      <c r="L816" s="80"/>
      <c r="M816" s="80"/>
      <c r="N816" s="49"/>
      <c r="O816" s="80"/>
      <c r="P816" s="80"/>
      <c r="Q816" s="80"/>
      <c r="R816" s="80"/>
      <c r="S816" s="80"/>
      <c r="T816" s="80"/>
      <c r="U816" s="80"/>
      <c r="V816" s="80"/>
      <c r="W816" s="80"/>
      <c r="X816" s="80"/>
      <c r="Y816" s="80"/>
      <c r="Z816" s="80"/>
      <c r="AA816" s="80"/>
      <c r="AB816" s="80"/>
      <c r="AC816" s="80"/>
      <c r="AD816" s="80"/>
      <c r="AE816" s="80"/>
      <c r="AF816" s="80"/>
      <c r="AG816" s="80"/>
      <c r="AH816" s="80"/>
    </row>
    <row r="817" spans="1:34" ht="69.75" customHeight="1" x14ac:dyDescent="0.25">
      <c r="A817" s="948"/>
      <c r="B817" s="733"/>
      <c r="C817" s="733"/>
      <c r="D817" s="308" t="s">
        <v>358</v>
      </c>
      <c r="E817" s="301">
        <v>36120000</v>
      </c>
      <c r="F817" s="301">
        <v>23879333</v>
      </c>
      <c r="G817" s="309"/>
      <c r="H817" s="80"/>
      <c r="I817" s="80"/>
      <c r="J817" s="310"/>
      <c r="K817" s="80"/>
      <c r="L817" s="80"/>
      <c r="M817" s="80"/>
      <c r="N817" s="49"/>
      <c r="O817" s="80"/>
      <c r="P817" s="80"/>
      <c r="Q817" s="80"/>
      <c r="R817" s="80"/>
      <c r="S817" s="80"/>
      <c r="T817" s="80"/>
      <c r="U817" s="80"/>
      <c r="V817" s="80"/>
      <c r="W817" s="80"/>
      <c r="X817" s="80"/>
      <c r="Y817" s="80"/>
      <c r="Z817" s="80"/>
      <c r="AA817" s="80"/>
      <c r="AB817" s="80"/>
      <c r="AC817" s="80"/>
      <c r="AD817" s="80"/>
      <c r="AE817" s="80"/>
      <c r="AF817" s="80"/>
      <c r="AG817" s="80"/>
      <c r="AH817" s="80"/>
    </row>
    <row r="818" spans="1:34" ht="69.75" customHeight="1" x14ac:dyDescent="0.25">
      <c r="A818" s="948"/>
      <c r="B818" s="977" t="s">
        <v>967</v>
      </c>
      <c r="C818" s="977" t="s">
        <v>968</v>
      </c>
      <c r="D818" s="311" t="s">
        <v>362</v>
      </c>
      <c r="E818" s="301">
        <v>88955534</v>
      </c>
      <c r="F818" s="301">
        <v>59477600</v>
      </c>
      <c r="G818" s="309"/>
      <c r="H818" s="80"/>
      <c r="I818" s="80"/>
      <c r="J818" s="310"/>
      <c r="K818" s="80"/>
      <c r="L818" s="80"/>
      <c r="M818" s="80"/>
      <c r="N818" s="49"/>
      <c r="O818" s="80"/>
      <c r="P818" s="80"/>
      <c r="Q818" s="80"/>
      <c r="R818" s="80"/>
      <c r="S818" s="80"/>
      <c r="T818" s="80"/>
      <c r="U818" s="80"/>
      <c r="V818" s="80"/>
      <c r="W818" s="80"/>
      <c r="X818" s="80"/>
      <c r="Y818" s="80"/>
      <c r="Z818" s="80"/>
      <c r="AA818" s="80"/>
      <c r="AB818" s="80"/>
      <c r="AC818" s="80"/>
      <c r="AD818" s="80"/>
      <c r="AE818" s="80"/>
      <c r="AF818" s="80"/>
      <c r="AG818" s="80"/>
      <c r="AH818" s="80"/>
    </row>
    <row r="819" spans="1:34" ht="69.75" customHeight="1" x14ac:dyDescent="0.25">
      <c r="A819" s="948"/>
      <c r="B819" s="694"/>
      <c r="C819" s="694"/>
      <c r="D819" s="311" t="s">
        <v>1148</v>
      </c>
      <c r="E819" s="301">
        <v>953560100</v>
      </c>
      <c r="F819" s="301">
        <v>473953881</v>
      </c>
      <c r="G819" s="309"/>
      <c r="H819" s="80"/>
      <c r="I819" s="80"/>
      <c r="J819" s="310"/>
      <c r="K819" s="80"/>
      <c r="L819" s="80"/>
      <c r="M819" s="80"/>
      <c r="N819" s="49"/>
      <c r="O819" s="80"/>
      <c r="P819" s="80"/>
      <c r="Q819" s="80"/>
      <c r="R819" s="80"/>
      <c r="S819" s="80"/>
      <c r="T819" s="80"/>
      <c r="U819" s="80"/>
      <c r="V819" s="80"/>
      <c r="W819" s="80"/>
      <c r="X819" s="80"/>
      <c r="Y819" s="80"/>
      <c r="Z819" s="80"/>
      <c r="AA819" s="80"/>
      <c r="AB819" s="80"/>
      <c r="AC819" s="80"/>
      <c r="AD819" s="80"/>
      <c r="AE819" s="80"/>
      <c r="AF819" s="80"/>
      <c r="AG819" s="80"/>
      <c r="AH819" s="80"/>
    </row>
    <row r="820" spans="1:34" ht="69.75" customHeight="1" x14ac:dyDescent="0.25">
      <c r="A820" s="948"/>
      <c r="B820" s="694"/>
      <c r="C820" s="694"/>
      <c r="D820" s="311" t="s">
        <v>1149</v>
      </c>
      <c r="E820" s="301">
        <v>335917033</v>
      </c>
      <c r="F820" s="301">
        <v>227437233</v>
      </c>
      <c r="G820" s="309"/>
      <c r="H820" s="80"/>
      <c r="I820" s="80"/>
      <c r="J820" s="310"/>
      <c r="K820" s="80"/>
      <c r="L820" s="80"/>
      <c r="M820" s="80"/>
      <c r="N820" s="49"/>
      <c r="O820" s="80"/>
      <c r="P820" s="80"/>
      <c r="Q820" s="80"/>
      <c r="R820" s="80"/>
      <c r="S820" s="80"/>
      <c r="T820" s="80"/>
      <c r="U820" s="80"/>
      <c r="V820" s="80"/>
      <c r="W820" s="80"/>
      <c r="X820" s="80"/>
      <c r="Y820" s="80"/>
      <c r="Z820" s="80"/>
      <c r="AA820" s="80"/>
      <c r="AB820" s="80"/>
      <c r="AC820" s="80"/>
      <c r="AD820" s="80"/>
      <c r="AE820" s="80"/>
      <c r="AF820" s="80"/>
      <c r="AG820" s="80"/>
      <c r="AH820" s="80"/>
    </row>
    <row r="821" spans="1:34" ht="69.75" customHeight="1" x14ac:dyDescent="0.25">
      <c r="A821" s="948"/>
      <c r="B821" s="733"/>
      <c r="C821" s="733"/>
      <c r="D821" s="311" t="s">
        <v>891</v>
      </c>
      <c r="E821" s="312">
        <v>1245633499</v>
      </c>
      <c r="F821" s="301">
        <v>392256201</v>
      </c>
      <c r="G821" s="313"/>
      <c r="H821" s="80"/>
      <c r="I821" s="80"/>
      <c r="J821" s="310"/>
      <c r="K821" s="80"/>
      <c r="L821" s="80"/>
      <c r="M821" s="80"/>
      <c r="N821" s="49"/>
      <c r="O821" s="80"/>
      <c r="P821" s="80"/>
      <c r="Q821" s="80"/>
      <c r="R821" s="80"/>
      <c r="S821" s="80"/>
      <c r="T821" s="80"/>
      <c r="U821" s="80"/>
      <c r="V821" s="80"/>
      <c r="W821" s="80"/>
      <c r="X821" s="80"/>
      <c r="Y821" s="80"/>
      <c r="Z821" s="80"/>
      <c r="AA821" s="80"/>
      <c r="AB821" s="80"/>
      <c r="AC821" s="80"/>
      <c r="AD821" s="80"/>
      <c r="AE821" s="80"/>
      <c r="AF821" s="80"/>
      <c r="AG821" s="80"/>
      <c r="AH821" s="80"/>
    </row>
    <row r="822" spans="1:34" ht="69.75" customHeight="1" x14ac:dyDescent="0.25">
      <c r="A822" s="948"/>
      <c r="B822" s="259" t="s">
        <v>971</v>
      </c>
      <c r="C822" s="259" t="s">
        <v>972</v>
      </c>
      <c r="D822" s="311" t="s">
        <v>1150</v>
      </c>
      <c r="E822" s="301">
        <v>370000000</v>
      </c>
      <c r="F822" s="301">
        <v>242226134</v>
      </c>
      <c r="G822" s="309"/>
      <c r="H822" s="80"/>
      <c r="I822" s="80"/>
      <c r="J822" s="310"/>
      <c r="K822" s="80"/>
      <c r="L822" s="80"/>
      <c r="M822" s="80"/>
      <c r="N822" s="49"/>
      <c r="O822" s="80"/>
      <c r="P822" s="80"/>
      <c r="Q822" s="80"/>
      <c r="R822" s="80"/>
      <c r="S822" s="80"/>
      <c r="T822" s="80"/>
      <c r="U822" s="80"/>
      <c r="V822" s="80"/>
      <c r="W822" s="80"/>
      <c r="X822" s="80"/>
      <c r="Y822" s="80"/>
      <c r="Z822" s="80"/>
      <c r="AA822" s="80"/>
      <c r="AB822" s="80"/>
      <c r="AC822" s="80"/>
      <c r="AD822" s="80"/>
      <c r="AE822" s="80"/>
      <c r="AF822" s="80"/>
      <c r="AG822" s="80"/>
      <c r="AH822" s="80"/>
    </row>
    <row r="823" spans="1:34" ht="69.75" customHeight="1" x14ac:dyDescent="0.25">
      <c r="A823" s="953"/>
      <c r="B823" s="259" t="s">
        <v>975</v>
      </c>
      <c r="C823" s="259" t="s">
        <v>976</v>
      </c>
      <c r="D823" s="311" t="s">
        <v>381</v>
      </c>
      <c r="E823" s="301">
        <v>780040767</v>
      </c>
      <c r="F823" s="301">
        <v>487545241</v>
      </c>
      <c r="G823" s="309"/>
      <c r="H823" s="80"/>
      <c r="I823" s="80"/>
      <c r="J823" s="310"/>
      <c r="K823" s="80"/>
      <c r="L823" s="80"/>
      <c r="M823" s="80"/>
      <c r="N823" s="49"/>
      <c r="O823" s="80"/>
      <c r="P823" s="80"/>
      <c r="Q823" s="80"/>
      <c r="R823" s="80"/>
      <c r="S823" s="80"/>
      <c r="T823" s="80"/>
      <c r="U823" s="80"/>
      <c r="V823" s="80"/>
      <c r="W823" s="80"/>
      <c r="X823" s="80"/>
      <c r="Y823" s="80"/>
      <c r="Z823" s="80"/>
      <c r="AA823" s="80"/>
      <c r="AB823" s="80"/>
      <c r="AC823" s="80"/>
      <c r="AD823" s="80"/>
      <c r="AE823" s="80"/>
      <c r="AF823" s="80"/>
      <c r="AG823" s="80"/>
      <c r="AH823" s="80"/>
    </row>
    <row r="824" spans="1:34" ht="69.75" customHeight="1" x14ac:dyDescent="0.25">
      <c r="A824" s="970" t="s">
        <v>936</v>
      </c>
      <c r="B824" s="975" t="s">
        <v>963</v>
      </c>
      <c r="C824" s="975" t="s">
        <v>964</v>
      </c>
      <c r="D824" s="314" t="s">
        <v>344</v>
      </c>
      <c r="E824" s="315">
        <v>851180799</v>
      </c>
      <c r="F824" s="315">
        <v>635252692</v>
      </c>
      <c r="G824" s="316"/>
      <c r="H824" s="317"/>
      <c r="I824" s="317"/>
      <c r="J824" s="318"/>
      <c r="K824" s="317"/>
      <c r="L824" s="317"/>
      <c r="M824" s="317"/>
      <c r="N824" s="319"/>
      <c r="O824" s="317"/>
      <c r="P824" s="317"/>
      <c r="Q824" s="317"/>
      <c r="R824" s="317"/>
      <c r="S824" s="317"/>
      <c r="T824" s="317"/>
      <c r="U824" s="317"/>
      <c r="V824" s="317"/>
      <c r="W824" s="317"/>
      <c r="X824" s="317"/>
      <c r="Y824" s="317"/>
      <c r="Z824" s="317"/>
      <c r="AA824" s="317"/>
      <c r="AB824" s="317"/>
      <c r="AC824" s="317"/>
      <c r="AD824" s="317"/>
      <c r="AE824" s="317"/>
      <c r="AF824" s="317"/>
      <c r="AG824" s="317"/>
      <c r="AH824" s="317"/>
    </row>
    <row r="825" spans="1:34" ht="69.75" customHeight="1" x14ac:dyDescent="0.25">
      <c r="A825" s="948"/>
      <c r="B825" s="694"/>
      <c r="C825" s="694"/>
      <c r="D825" s="314" t="s">
        <v>355</v>
      </c>
      <c r="E825" s="315">
        <v>171679000</v>
      </c>
      <c r="F825" s="315">
        <v>98761600</v>
      </c>
      <c r="G825" s="316"/>
      <c r="H825" s="317"/>
      <c r="I825" s="317"/>
      <c r="J825" s="318"/>
      <c r="K825" s="317"/>
      <c r="L825" s="317"/>
      <c r="M825" s="317"/>
      <c r="N825" s="319"/>
      <c r="O825" s="317"/>
      <c r="P825" s="317"/>
      <c r="Q825" s="317"/>
      <c r="R825" s="317"/>
      <c r="S825" s="317"/>
      <c r="T825" s="317"/>
      <c r="U825" s="317"/>
      <c r="V825" s="317"/>
      <c r="W825" s="317"/>
      <c r="X825" s="317"/>
      <c r="Y825" s="317"/>
      <c r="Z825" s="317"/>
      <c r="AA825" s="317"/>
      <c r="AB825" s="317"/>
      <c r="AC825" s="317"/>
      <c r="AD825" s="317"/>
      <c r="AE825" s="317"/>
      <c r="AF825" s="317"/>
      <c r="AG825" s="317"/>
      <c r="AH825" s="317"/>
    </row>
    <row r="826" spans="1:34" ht="69.75" customHeight="1" x14ac:dyDescent="0.25">
      <c r="A826" s="948"/>
      <c r="B826" s="733"/>
      <c r="C826" s="733"/>
      <c r="D826" s="314" t="s">
        <v>358</v>
      </c>
      <c r="E826" s="315">
        <v>36120000</v>
      </c>
      <c r="F826" s="315">
        <v>26889333</v>
      </c>
      <c r="G826" s="316"/>
      <c r="H826" s="317"/>
      <c r="I826" s="317"/>
      <c r="J826" s="318"/>
      <c r="K826" s="317"/>
      <c r="L826" s="317"/>
      <c r="M826" s="317"/>
      <c r="N826" s="319"/>
      <c r="O826" s="317"/>
      <c r="P826" s="317"/>
      <c r="Q826" s="317"/>
      <c r="R826" s="317"/>
      <c r="S826" s="317"/>
      <c r="T826" s="317"/>
      <c r="U826" s="317"/>
      <c r="V826" s="317"/>
      <c r="W826" s="317"/>
      <c r="X826" s="317"/>
      <c r="Y826" s="317"/>
      <c r="Z826" s="317"/>
      <c r="AA826" s="317"/>
      <c r="AB826" s="317"/>
      <c r="AC826" s="317"/>
      <c r="AD826" s="317"/>
      <c r="AE826" s="317"/>
      <c r="AF826" s="317"/>
      <c r="AG826" s="317"/>
      <c r="AH826" s="317"/>
    </row>
    <row r="827" spans="1:34" ht="69.75" customHeight="1" x14ac:dyDescent="0.25">
      <c r="A827" s="948"/>
      <c r="B827" s="976" t="s">
        <v>967</v>
      </c>
      <c r="C827" s="976" t="s">
        <v>968</v>
      </c>
      <c r="D827" s="320" t="s">
        <v>362</v>
      </c>
      <c r="E827" s="315">
        <v>88955534</v>
      </c>
      <c r="F827" s="315">
        <v>67303600</v>
      </c>
      <c r="G827" s="316"/>
      <c r="H827" s="317"/>
      <c r="I827" s="317"/>
      <c r="J827" s="318"/>
      <c r="K827" s="317"/>
      <c r="L827" s="317"/>
      <c r="M827" s="317"/>
      <c r="N827" s="319"/>
      <c r="O827" s="317"/>
      <c r="P827" s="317"/>
      <c r="Q827" s="317"/>
      <c r="R827" s="317"/>
      <c r="S827" s="317"/>
      <c r="T827" s="317"/>
      <c r="U827" s="317"/>
      <c r="V827" s="317"/>
      <c r="W827" s="317"/>
      <c r="X827" s="317"/>
      <c r="Y827" s="317"/>
      <c r="Z827" s="317"/>
      <c r="AA827" s="317"/>
      <c r="AB827" s="317"/>
      <c r="AC827" s="317"/>
      <c r="AD827" s="317"/>
      <c r="AE827" s="317"/>
      <c r="AF827" s="317"/>
      <c r="AG827" s="317"/>
      <c r="AH827" s="317"/>
    </row>
    <row r="828" spans="1:34" ht="69.75" customHeight="1" x14ac:dyDescent="0.25">
      <c r="A828" s="948"/>
      <c r="B828" s="694"/>
      <c r="C828" s="694"/>
      <c r="D828" s="320" t="s">
        <v>1148</v>
      </c>
      <c r="E828" s="315">
        <v>926447699</v>
      </c>
      <c r="F828" s="315">
        <v>566420681</v>
      </c>
      <c r="G828" s="316"/>
      <c r="H828" s="317"/>
      <c r="I828" s="317"/>
      <c r="J828" s="318"/>
      <c r="K828" s="317"/>
      <c r="L828" s="317"/>
      <c r="M828" s="317"/>
      <c r="N828" s="319"/>
      <c r="O828" s="317"/>
      <c r="P828" s="317"/>
      <c r="Q828" s="317"/>
      <c r="R828" s="317"/>
      <c r="S828" s="317"/>
      <c r="T828" s="317"/>
      <c r="U828" s="317"/>
      <c r="V828" s="317"/>
      <c r="W828" s="317"/>
      <c r="X828" s="317"/>
      <c r="Y828" s="317"/>
      <c r="Z828" s="317"/>
      <c r="AA828" s="317"/>
      <c r="AB828" s="317"/>
      <c r="AC828" s="317"/>
      <c r="AD828" s="317"/>
      <c r="AE828" s="317"/>
      <c r="AF828" s="317"/>
      <c r="AG828" s="317"/>
      <c r="AH828" s="317"/>
    </row>
    <row r="829" spans="1:34" ht="69.75" customHeight="1" x14ac:dyDescent="0.25">
      <c r="A829" s="948"/>
      <c r="B829" s="694"/>
      <c r="C829" s="694"/>
      <c r="D829" s="320" t="s">
        <v>1149</v>
      </c>
      <c r="E829" s="315">
        <v>336945800</v>
      </c>
      <c r="F829" s="315">
        <v>259535233</v>
      </c>
      <c r="G829" s="316"/>
      <c r="H829" s="317"/>
      <c r="I829" s="317"/>
      <c r="J829" s="318"/>
      <c r="K829" s="317"/>
      <c r="L829" s="317"/>
      <c r="M829" s="317"/>
      <c r="N829" s="319"/>
      <c r="O829" s="317"/>
      <c r="P829" s="317"/>
      <c r="Q829" s="317"/>
      <c r="R829" s="317"/>
      <c r="S829" s="317"/>
      <c r="T829" s="317"/>
      <c r="U829" s="317"/>
      <c r="V829" s="317"/>
      <c r="W829" s="317"/>
      <c r="X829" s="317"/>
      <c r="Y829" s="317"/>
      <c r="Z829" s="317"/>
      <c r="AA829" s="317"/>
      <c r="AB829" s="317"/>
      <c r="AC829" s="317"/>
      <c r="AD829" s="317"/>
      <c r="AE829" s="317"/>
      <c r="AF829" s="317"/>
      <c r="AG829" s="317"/>
      <c r="AH829" s="317"/>
    </row>
    <row r="830" spans="1:34" ht="69.75" customHeight="1" x14ac:dyDescent="0.25">
      <c r="A830" s="948"/>
      <c r="B830" s="733"/>
      <c r="C830" s="733"/>
      <c r="D830" s="320" t="s">
        <v>891</v>
      </c>
      <c r="E830" s="321">
        <v>1254780000</v>
      </c>
      <c r="F830" s="315">
        <v>435623201</v>
      </c>
      <c r="G830" s="322"/>
      <c r="H830" s="317"/>
      <c r="I830" s="317"/>
      <c r="J830" s="318"/>
      <c r="K830" s="317"/>
      <c r="L830" s="317"/>
      <c r="M830" s="317"/>
      <c r="N830" s="319"/>
      <c r="O830" s="317"/>
      <c r="P830" s="317"/>
      <c r="Q830" s="317"/>
      <c r="R830" s="317"/>
      <c r="S830" s="317"/>
      <c r="T830" s="317"/>
      <c r="U830" s="317"/>
      <c r="V830" s="317"/>
      <c r="W830" s="317"/>
      <c r="X830" s="317"/>
      <c r="Y830" s="317"/>
      <c r="Z830" s="317"/>
      <c r="AA830" s="317"/>
      <c r="AB830" s="317"/>
      <c r="AC830" s="317"/>
      <c r="AD830" s="317"/>
      <c r="AE830" s="317"/>
      <c r="AF830" s="317"/>
      <c r="AG830" s="317"/>
      <c r="AH830" s="317"/>
    </row>
    <row r="831" spans="1:34" ht="69.75" customHeight="1" x14ac:dyDescent="0.25">
      <c r="A831" s="948"/>
      <c r="B831" s="271" t="s">
        <v>971</v>
      </c>
      <c r="C831" s="271" t="s">
        <v>972</v>
      </c>
      <c r="D831" s="320" t="s">
        <v>1150</v>
      </c>
      <c r="E831" s="315">
        <v>389996401</v>
      </c>
      <c r="F831" s="315">
        <v>275437134</v>
      </c>
      <c r="G831" s="316"/>
      <c r="H831" s="317"/>
      <c r="I831" s="317"/>
      <c r="J831" s="318"/>
      <c r="K831" s="317"/>
      <c r="L831" s="317"/>
      <c r="M831" s="317"/>
      <c r="N831" s="319"/>
      <c r="O831" s="317"/>
      <c r="P831" s="317"/>
      <c r="Q831" s="317"/>
      <c r="R831" s="317"/>
      <c r="S831" s="317"/>
      <c r="T831" s="317"/>
      <c r="U831" s="317"/>
      <c r="V831" s="317"/>
      <c r="W831" s="317"/>
      <c r="X831" s="317"/>
      <c r="Y831" s="317"/>
      <c r="Z831" s="317"/>
      <c r="AA831" s="317"/>
      <c r="AB831" s="317"/>
      <c r="AC831" s="317"/>
      <c r="AD831" s="317"/>
      <c r="AE831" s="317"/>
      <c r="AF831" s="317"/>
      <c r="AG831" s="317"/>
      <c r="AH831" s="317"/>
    </row>
    <row r="832" spans="1:34" ht="69.75" customHeight="1" x14ac:dyDescent="0.25">
      <c r="A832" s="953"/>
      <c r="B832" s="271" t="s">
        <v>975</v>
      </c>
      <c r="C832" s="271" t="s">
        <v>976</v>
      </c>
      <c r="D832" s="320" t="s">
        <v>381</v>
      </c>
      <c r="E832" s="315">
        <v>700240767</v>
      </c>
      <c r="F832" s="315">
        <v>542386932</v>
      </c>
      <c r="G832" s="316"/>
      <c r="H832" s="317"/>
      <c r="I832" s="317"/>
      <c r="J832" s="318"/>
      <c r="K832" s="317"/>
      <c r="L832" s="317"/>
      <c r="M832" s="317"/>
      <c r="N832" s="319"/>
      <c r="O832" s="317"/>
      <c r="P832" s="317"/>
      <c r="Q832" s="317"/>
      <c r="R832" s="317"/>
      <c r="S832" s="317"/>
      <c r="T832" s="317"/>
      <c r="U832" s="317"/>
      <c r="V832" s="317"/>
      <c r="W832" s="317"/>
      <c r="X832" s="317"/>
      <c r="Y832" s="317"/>
      <c r="Z832" s="317"/>
      <c r="AA832" s="317"/>
      <c r="AB832" s="317"/>
      <c r="AC832" s="317"/>
      <c r="AD832" s="317"/>
      <c r="AE832" s="317"/>
      <c r="AF832" s="317"/>
      <c r="AG832" s="317"/>
      <c r="AH832" s="317"/>
    </row>
    <row r="833" spans="1:34" s="361" customFormat="1" ht="69.75" customHeight="1" x14ac:dyDescent="0.25">
      <c r="A833" s="971" t="s">
        <v>937</v>
      </c>
      <c r="B833" s="979" t="s">
        <v>963</v>
      </c>
      <c r="C833" s="979" t="s">
        <v>964</v>
      </c>
      <c r="D833" s="378" t="s">
        <v>344</v>
      </c>
      <c r="E833" s="379">
        <v>851180799</v>
      </c>
      <c r="F833" s="380">
        <v>724145834</v>
      </c>
      <c r="G833" s="381"/>
      <c r="H833" s="382"/>
      <c r="I833" s="382"/>
      <c r="J833" s="383"/>
      <c r="K833" s="382"/>
      <c r="L833" s="382"/>
      <c r="M833" s="382"/>
      <c r="N833" s="384"/>
      <c r="O833" s="382"/>
      <c r="P833" s="382"/>
      <c r="Q833" s="382"/>
      <c r="R833" s="382"/>
      <c r="S833" s="382"/>
      <c r="T833" s="382"/>
      <c r="U833" s="382"/>
      <c r="V833" s="382"/>
      <c r="W833" s="382"/>
      <c r="X833" s="382"/>
      <c r="Y833" s="382"/>
      <c r="Z833" s="382"/>
      <c r="AA833" s="382"/>
      <c r="AB833" s="382"/>
      <c r="AC833" s="382"/>
      <c r="AD833" s="382"/>
      <c r="AE833" s="382"/>
      <c r="AF833" s="382"/>
      <c r="AG833" s="382"/>
      <c r="AH833" s="382"/>
    </row>
    <row r="834" spans="1:34" s="361" customFormat="1" ht="69.75" customHeight="1" x14ac:dyDescent="0.25">
      <c r="A834" s="972"/>
      <c r="B834" s="716"/>
      <c r="C834" s="716"/>
      <c r="D834" s="378" t="s">
        <v>355</v>
      </c>
      <c r="E834" s="379">
        <v>171679000</v>
      </c>
      <c r="F834" s="380">
        <v>111988600</v>
      </c>
      <c r="G834" s="381"/>
      <c r="H834" s="382"/>
      <c r="I834" s="382"/>
      <c r="J834" s="383"/>
      <c r="K834" s="382"/>
      <c r="L834" s="382"/>
      <c r="M834" s="382"/>
      <c r="N834" s="384"/>
      <c r="O834" s="382"/>
      <c r="P834" s="382"/>
      <c r="Q834" s="382"/>
      <c r="R834" s="382"/>
      <c r="S834" s="382"/>
      <c r="T834" s="382"/>
      <c r="U834" s="382"/>
      <c r="V834" s="382"/>
      <c r="W834" s="382"/>
      <c r="X834" s="382"/>
      <c r="Y834" s="382"/>
      <c r="Z834" s="382"/>
      <c r="AA834" s="382"/>
      <c r="AB834" s="382"/>
      <c r="AC834" s="382"/>
      <c r="AD834" s="382"/>
      <c r="AE834" s="382"/>
      <c r="AF834" s="382"/>
      <c r="AG834" s="382"/>
      <c r="AH834" s="382"/>
    </row>
    <row r="835" spans="1:34" s="361" customFormat="1" ht="69.75" customHeight="1" x14ac:dyDescent="0.25">
      <c r="A835" s="972"/>
      <c r="B835" s="717"/>
      <c r="C835" s="717"/>
      <c r="D835" s="378" t="s">
        <v>358</v>
      </c>
      <c r="E835" s="379">
        <v>36120000</v>
      </c>
      <c r="F835" s="380">
        <v>29899333</v>
      </c>
      <c r="G835" s="381"/>
      <c r="H835" s="382"/>
      <c r="I835" s="382"/>
      <c r="J835" s="383"/>
      <c r="K835" s="382"/>
      <c r="L835" s="382"/>
      <c r="M835" s="382"/>
      <c r="N835" s="384"/>
      <c r="O835" s="382"/>
      <c r="P835" s="382"/>
      <c r="Q835" s="382"/>
      <c r="R835" s="382"/>
      <c r="S835" s="382"/>
      <c r="T835" s="382"/>
      <c r="U835" s="382"/>
      <c r="V835" s="382"/>
      <c r="W835" s="382"/>
      <c r="X835" s="382"/>
      <c r="Y835" s="382"/>
      <c r="Z835" s="382"/>
      <c r="AA835" s="382"/>
      <c r="AB835" s="382"/>
      <c r="AC835" s="382"/>
      <c r="AD835" s="382"/>
      <c r="AE835" s="382"/>
      <c r="AF835" s="382"/>
      <c r="AG835" s="382"/>
      <c r="AH835" s="382"/>
    </row>
    <row r="836" spans="1:34" s="361" customFormat="1" ht="69.75" customHeight="1" x14ac:dyDescent="0.25">
      <c r="A836" s="972"/>
      <c r="B836" s="980" t="s">
        <v>967</v>
      </c>
      <c r="C836" s="980" t="s">
        <v>968</v>
      </c>
      <c r="D836" s="385" t="s">
        <v>362</v>
      </c>
      <c r="E836" s="386">
        <v>88955534</v>
      </c>
      <c r="F836" s="380">
        <v>79042600</v>
      </c>
      <c r="G836" s="381"/>
      <c r="H836" s="382"/>
      <c r="I836" s="382"/>
      <c r="J836" s="383"/>
      <c r="K836" s="382"/>
      <c r="L836" s="382"/>
      <c r="M836" s="382"/>
      <c r="N836" s="384"/>
      <c r="O836" s="382"/>
      <c r="P836" s="382"/>
      <c r="Q836" s="382"/>
      <c r="R836" s="382"/>
      <c r="S836" s="382"/>
      <c r="T836" s="382"/>
      <c r="U836" s="382"/>
      <c r="V836" s="382"/>
      <c r="W836" s="382"/>
      <c r="X836" s="382"/>
      <c r="Y836" s="382"/>
      <c r="Z836" s="382"/>
      <c r="AA836" s="382"/>
      <c r="AB836" s="382"/>
      <c r="AC836" s="382"/>
      <c r="AD836" s="382"/>
      <c r="AE836" s="382"/>
      <c r="AF836" s="382"/>
      <c r="AG836" s="382"/>
      <c r="AH836" s="382"/>
    </row>
    <row r="837" spans="1:34" s="361" customFormat="1" ht="69.75" customHeight="1" x14ac:dyDescent="0.25">
      <c r="A837" s="972"/>
      <c r="B837" s="716"/>
      <c r="C837" s="716"/>
      <c r="D837" s="385" t="s">
        <v>1148</v>
      </c>
      <c r="E837" s="387">
        <v>926447699</v>
      </c>
      <c r="F837" s="380">
        <v>727866280</v>
      </c>
      <c r="G837" s="381"/>
      <c r="H837" s="382"/>
      <c r="I837" s="382"/>
      <c r="J837" s="383"/>
      <c r="K837" s="382"/>
      <c r="L837" s="382"/>
      <c r="M837" s="382"/>
      <c r="N837" s="384"/>
      <c r="O837" s="382"/>
      <c r="P837" s="382"/>
      <c r="Q837" s="382"/>
      <c r="R837" s="382"/>
      <c r="S837" s="382"/>
      <c r="T837" s="382"/>
      <c r="U837" s="382"/>
      <c r="V837" s="382"/>
      <c r="W837" s="382"/>
      <c r="X837" s="382"/>
      <c r="Y837" s="382"/>
      <c r="Z837" s="382"/>
      <c r="AA837" s="382"/>
      <c r="AB837" s="382"/>
      <c r="AC837" s="382"/>
      <c r="AD837" s="382"/>
      <c r="AE837" s="382"/>
      <c r="AF837" s="382"/>
      <c r="AG837" s="382"/>
      <c r="AH837" s="382"/>
    </row>
    <row r="838" spans="1:34" s="361" customFormat="1" ht="69.75" customHeight="1" x14ac:dyDescent="0.25">
      <c r="A838" s="972"/>
      <c r="B838" s="716"/>
      <c r="C838" s="716"/>
      <c r="D838" s="385" t="s">
        <v>1149</v>
      </c>
      <c r="E838" s="388">
        <v>336945800</v>
      </c>
      <c r="F838" s="380">
        <v>308801233</v>
      </c>
      <c r="G838" s="381"/>
      <c r="H838" s="382"/>
      <c r="I838" s="382"/>
      <c r="J838" s="383"/>
      <c r="K838" s="382"/>
      <c r="L838" s="382"/>
      <c r="M838" s="382"/>
      <c r="N838" s="384"/>
      <c r="O838" s="382"/>
      <c r="P838" s="382"/>
      <c r="Q838" s="382"/>
      <c r="R838" s="382"/>
      <c r="S838" s="382"/>
      <c r="T838" s="382"/>
      <c r="U838" s="382"/>
      <c r="V838" s="382"/>
      <c r="W838" s="382"/>
      <c r="X838" s="382"/>
      <c r="Y838" s="382"/>
      <c r="Z838" s="382"/>
      <c r="AA838" s="382"/>
      <c r="AB838" s="382"/>
      <c r="AC838" s="382"/>
      <c r="AD838" s="382"/>
      <c r="AE838" s="382"/>
      <c r="AF838" s="382"/>
      <c r="AG838" s="382"/>
      <c r="AH838" s="382"/>
    </row>
    <row r="839" spans="1:34" s="361" customFormat="1" ht="69.75" customHeight="1" x14ac:dyDescent="0.25">
      <c r="A839" s="972"/>
      <c r="B839" s="717"/>
      <c r="C839" s="717"/>
      <c r="D839" s="385" t="s">
        <v>891</v>
      </c>
      <c r="E839" s="389">
        <v>1254780000</v>
      </c>
      <c r="F839" s="380">
        <v>520110034</v>
      </c>
      <c r="G839" s="390"/>
      <c r="H839" s="382"/>
      <c r="I839" s="382"/>
      <c r="J839" s="383"/>
      <c r="K839" s="382"/>
      <c r="L839" s="382"/>
      <c r="M839" s="382"/>
      <c r="N839" s="384"/>
      <c r="O839" s="382"/>
      <c r="P839" s="382"/>
      <c r="Q839" s="382"/>
      <c r="R839" s="382"/>
      <c r="S839" s="382"/>
      <c r="T839" s="382"/>
      <c r="U839" s="382"/>
      <c r="V839" s="382"/>
      <c r="W839" s="382"/>
      <c r="X839" s="382"/>
      <c r="Y839" s="382"/>
      <c r="Z839" s="382"/>
      <c r="AA839" s="382"/>
      <c r="AB839" s="382"/>
      <c r="AC839" s="382"/>
      <c r="AD839" s="382"/>
      <c r="AE839" s="382"/>
      <c r="AF839" s="382"/>
      <c r="AG839" s="382"/>
      <c r="AH839" s="382"/>
    </row>
    <row r="840" spans="1:34" s="361" customFormat="1" ht="69.75" customHeight="1" x14ac:dyDescent="0.25">
      <c r="A840" s="972"/>
      <c r="B840" s="372" t="s">
        <v>971</v>
      </c>
      <c r="C840" s="372" t="s">
        <v>972</v>
      </c>
      <c r="D840" s="385" t="s">
        <v>1150</v>
      </c>
      <c r="E840" s="387">
        <v>356438401</v>
      </c>
      <c r="F840" s="380">
        <v>334033134</v>
      </c>
      <c r="G840" s="381"/>
      <c r="H840" s="382"/>
      <c r="I840" s="382"/>
      <c r="J840" s="383"/>
      <c r="K840" s="382"/>
      <c r="L840" s="382"/>
      <c r="M840" s="382"/>
      <c r="N840" s="384"/>
      <c r="O840" s="382"/>
      <c r="P840" s="382"/>
      <c r="Q840" s="382"/>
      <c r="R840" s="382"/>
      <c r="S840" s="382"/>
      <c r="T840" s="382"/>
      <c r="U840" s="382"/>
      <c r="V840" s="382"/>
      <c r="W840" s="382"/>
      <c r="X840" s="382"/>
      <c r="Y840" s="382"/>
      <c r="Z840" s="382"/>
      <c r="AA840" s="382"/>
      <c r="AB840" s="382"/>
      <c r="AC840" s="382"/>
      <c r="AD840" s="382"/>
      <c r="AE840" s="382"/>
      <c r="AF840" s="382"/>
      <c r="AG840" s="382"/>
      <c r="AH840" s="382"/>
    </row>
    <row r="841" spans="1:34" s="361" customFormat="1" ht="69.75" customHeight="1" x14ac:dyDescent="0.25">
      <c r="A841" s="973"/>
      <c r="B841" s="372" t="s">
        <v>975</v>
      </c>
      <c r="C841" s="372" t="s">
        <v>976</v>
      </c>
      <c r="D841" s="385" t="s">
        <v>381</v>
      </c>
      <c r="E841" s="387">
        <v>700240767</v>
      </c>
      <c r="F841" s="380">
        <v>617579798</v>
      </c>
      <c r="G841" s="381"/>
      <c r="H841" s="382"/>
      <c r="I841" s="382"/>
      <c r="J841" s="383"/>
      <c r="K841" s="382"/>
      <c r="L841" s="382"/>
      <c r="M841" s="382"/>
      <c r="N841" s="384"/>
      <c r="O841" s="382"/>
      <c r="P841" s="382"/>
      <c r="Q841" s="382"/>
      <c r="R841" s="382"/>
      <c r="S841" s="382"/>
      <c r="T841" s="382"/>
      <c r="U841" s="382"/>
      <c r="V841" s="382"/>
      <c r="W841" s="382"/>
      <c r="X841" s="382"/>
      <c r="Y841" s="382"/>
      <c r="Z841" s="382"/>
      <c r="AA841" s="382"/>
      <c r="AB841" s="382"/>
      <c r="AC841" s="382"/>
      <c r="AD841" s="382"/>
      <c r="AE841" s="382"/>
      <c r="AF841" s="382"/>
      <c r="AG841" s="382"/>
      <c r="AH841" s="382"/>
    </row>
    <row r="842" spans="1:34" ht="69.75" customHeight="1" x14ac:dyDescent="0.25">
      <c r="A842" s="303"/>
      <c r="B842" s="304"/>
      <c r="C842" s="304"/>
      <c r="D842" s="305"/>
      <c r="E842" s="323"/>
      <c r="F842" s="324"/>
      <c r="G842" s="307"/>
      <c r="H842" s="88"/>
      <c r="I842" s="88"/>
      <c r="J842" s="293"/>
      <c r="K842" s="88"/>
      <c r="L842" s="88"/>
      <c r="M842" s="88"/>
      <c r="N842" s="294"/>
      <c r="O842" s="88"/>
      <c r="P842" s="88"/>
      <c r="Q842" s="88"/>
      <c r="R842" s="88"/>
      <c r="S842" s="88"/>
      <c r="T842" s="88"/>
      <c r="U842" s="88"/>
      <c r="V842" s="88"/>
      <c r="W842" s="88"/>
      <c r="X842" s="88"/>
      <c r="Y842" s="88"/>
      <c r="Z842" s="88"/>
      <c r="AA842" s="88"/>
      <c r="AB842" s="88"/>
      <c r="AC842" s="88"/>
      <c r="AD842" s="88"/>
      <c r="AE842" s="88"/>
      <c r="AF842" s="88"/>
      <c r="AG842" s="88"/>
      <c r="AH842" s="88"/>
    </row>
    <row r="843" spans="1:34" ht="24.75" customHeight="1" x14ac:dyDescent="0.3">
      <c r="A843" s="956" t="s">
        <v>1160</v>
      </c>
      <c r="B843" s="679"/>
      <c r="C843" s="679"/>
      <c r="D843" s="679"/>
      <c r="E843" s="679"/>
      <c r="F843" s="679"/>
      <c r="G843" s="679"/>
      <c r="H843" s="721"/>
      <c r="J843" s="125"/>
      <c r="N843" s="162"/>
    </row>
    <row r="844" spans="1:34" ht="46.5" customHeight="1" x14ac:dyDescent="0.25">
      <c r="A844" s="163" t="s">
        <v>24</v>
      </c>
      <c r="B844" s="164" t="s">
        <v>1161</v>
      </c>
      <c r="C844" s="325" t="s">
        <v>953</v>
      </c>
      <c r="D844" s="325" t="s">
        <v>954</v>
      </c>
      <c r="E844" s="325" t="s">
        <v>1162</v>
      </c>
      <c r="F844" s="325" t="s">
        <v>1163</v>
      </c>
      <c r="G844" s="325" t="s">
        <v>1164</v>
      </c>
      <c r="H844" s="165" t="s">
        <v>1147</v>
      </c>
      <c r="J844" s="125"/>
      <c r="N844" s="162"/>
    </row>
    <row r="845" spans="1:34" ht="15.75" customHeight="1" x14ac:dyDescent="0.25">
      <c r="A845" s="166" t="s">
        <v>931</v>
      </c>
      <c r="B845" s="326"/>
      <c r="C845" s="283"/>
      <c r="D845" s="283"/>
      <c r="E845" s="327"/>
      <c r="F845" s="327"/>
      <c r="G845" s="327" t="e">
        <f t="shared" ref="G845:G852" si="31">F845/E845</f>
        <v>#DIV/0!</v>
      </c>
      <c r="H845" s="285"/>
      <c r="J845" s="125"/>
      <c r="N845" s="162"/>
    </row>
    <row r="846" spans="1:34" ht="15.75" customHeight="1" x14ac:dyDescent="0.25">
      <c r="A846" s="166" t="s">
        <v>932</v>
      </c>
      <c r="B846" s="326"/>
      <c r="C846" s="283"/>
      <c r="D846" s="283"/>
      <c r="E846" s="327"/>
      <c r="F846" s="328"/>
      <c r="G846" s="328" t="e">
        <f t="shared" si="31"/>
        <v>#DIV/0!</v>
      </c>
      <c r="H846" s="329"/>
      <c r="J846" s="125"/>
      <c r="N846" s="162"/>
    </row>
    <row r="847" spans="1:34" ht="15.75" customHeight="1" x14ac:dyDescent="0.25">
      <c r="A847" s="166" t="s">
        <v>933</v>
      </c>
      <c r="B847" s="326"/>
      <c r="C847" s="283"/>
      <c r="D847" s="283"/>
      <c r="E847" s="327"/>
      <c r="F847" s="328"/>
      <c r="G847" s="328" t="e">
        <f t="shared" si="31"/>
        <v>#DIV/0!</v>
      </c>
      <c r="H847" s="329"/>
      <c r="J847" s="125"/>
      <c r="N847" s="162"/>
    </row>
    <row r="848" spans="1:34" ht="77.25" customHeight="1" x14ac:dyDescent="0.25">
      <c r="A848" s="964" t="s">
        <v>937</v>
      </c>
      <c r="B848" s="326" t="s">
        <v>1165</v>
      </c>
      <c r="C848" s="283" t="s">
        <v>176</v>
      </c>
      <c r="D848" s="283">
        <v>20</v>
      </c>
      <c r="E848" s="327">
        <v>86</v>
      </c>
      <c r="F848" s="328">
        <v>86</v>
      </c>
      <c r="G848" s="330">
        <f t="shared" si="31"/>
        <v>1</v>
      </c>
      <c r="H848" s="331" t="s">
        <v>1166</v>
      </c>
      <c r="J848" s="125"/>
      <c r="N848" s="162"/>
    </row>
    <row r="849" spans="1:34" ht="78" customHeight="1" x14ac:dyDescent="0.25">
      <c r="A849" s="948"/>
      <c r="B849" s="326" t="s">
        <v>1167</v>
      </c>
      <c r="C849" s="283" t="s">
        <v>1168</v>
      </c>
      <c r="D849" s="283">
        <v>20</v>
      </c>
      <c r="E849" s="327">
        <v>0.25</v>
      </c>
      <c r="F849" s="327">
        <v>0.25</v>
      </c>
      <c r="G849" s="330">
        <f t="shared" si="31"/>
        <v>1</v>
      </c>
      <c r="H849" s="331" t="s">
        <v>1169</v>
      </c>
      <c r="J849" s="125"/>
      <c r="N849" s="162"/>
    </row>
    <row r="850" spans="1:34" ht="66.75" customHeight="1" x14ac:dyDescent="0.25">
      <c r="A850" s="948"/>
      <c r="B850" s="326" t="s">
        <v>1170</v>
      </c>
      <c r="C850" s="283" t="s">
        <v>176</v>
      </c>
      <c r="D850" s="283">
        <v>20</v>
      </c>
      <c r="E850" s="327">
        <v>0.1</v>
      </c>
      <c r="F850" s="327">
        <v>0.1</v>
      </c>
      <c r="G850" s="330">
        <f t="shared" si="31"/>
        <v>1</v>
      </c>
      <c r="H850" s="331" t="s">
        <v>1171</v>
      </c>
      <c r="J850" s="125"/>
      <c r="N850" s="162"/>
    </row>
    <row r="851" spans="1:34" ht="76.5" customHeight="1" x14ac:dyDescent="0.25">
      <c r="A851" s="948"/>
      <c r="B851" s="326" t="s">
        <v>1172</v>
      </c>
      <c r="C851" s="283" t="s">
        <v>176</v>
      </c>
      <c r="D851" s="283">
        <v>20</v>
      </c>
      <c r="E851" s="327">
        <v>6</v>
      </c>
      <c r="F851" s="327">
        <v>6</v>
      </c>
      <c r="G851" s="330">
        <f t="shared" si="31"/>
        <v>1</v>
      </c>
      <c r="H851" s="331" t="s">
        <v>1173</v>
      </c>
      <c r="J851" s="125"/>
      <c r="N851" s="162"/>
    </row>
    <row r="852" spans="1:34" ht="85.5" customHeight="1" x14ac:dyDescent="0.25">
      <c r="A852" s="953"/>
      <c r="B852" s="326" t="s">
        <v>1174</v>
      </c>
      <c r="C852" s="283" t="s">
        <v>176</v>
      </c>
      <c r="D852" s="283">
        <v>20</v>
      </c>
      <c r="E852" s="327">
        <v>0.5</v>
      </c>
      <c r="F852" s="327">
        <v>0.5</v>
      </c>
      <c r="G852" s="330">
        <f t="shared" si="31"/>
        <v>1</v>
      </c>
      <c r="H852" s="331" t="s">
        <v>1175</v>
      </c>
      <c r="J852" s="125"/>
      <c r="N852" s="162"/>
    </row>
    <row r="853" spans="1:34" ht="15.75" customHeight="1" x14ac:dyDescent="0.25">
      <c r="B853" s="161"/>
      <c r="C853" s="162"/>
      <c r="D853" s="162"/>
      <c r="J853" s="125"/>
      <c r="N853" s="162"/>
    </row>
    <row r="854" spans="1:34" ht="25.5" customHeight="1" x14ac:dyDescent="0.3">
      <c r="A854" s="956" t="s">
        <v>1176</v>
      </c>
      <c r="B854" s="679"/>
      <c r="C854" s="679"/>
      <c r="D854" s="679"/>
      <c r="E854" s="679"/>
      <c r="F854" s="679"/>
      <c r="G854" s="679"/>
      <c r="H854" s="721"/>
      <c r="J854" s="125"/>
      <c r="N854" s="162"/>
    </row>
    <row r="855" spans="1:34" ht="53.25" customHeight="1" x14ac:dyDescent="0.25">
      <c r="A855" s="163" t="s">
        <v>25</v>
      </c>
      <c r="B855" s="164" t="s">
        <v>1161</v>
      </c>
      <c r="C855" s="325" t="s">
        <v>953</v>
      </c>
      <c r="D855" s="325" t="s">
        <v>988</v>
      </c>
      <c r="E855" s="325" t="s">
        <v>1177</v>
      </c>
      <c r="F855" s="325" t="s">
        <v>1178</v>
      </c>
      <c r="G855" s="325" t="s">
        <v>1179</v>
      </c>
      <c r="H855" s="165" t="s">
        <v>1147</v>
      </c>
      <c r="J855" s="125"/>
      <c r="N855" s="162"/>
    </row>
    <row r="856" spans="1:34" ht="40.5" customHeight="1" x14ac:dyDescent="0.25">
      <c r="A856" s="952" t="s">
        <v>939</v>
      </c>
      <c r="B856" s="295" t="s">
        <v>1165</v>
      </c>
      <c r="C856" s="332" t="s">
        <v>176</v>
      </c>
      <c r="D856" s="332">
        <v>20</v>
      </c>
      <c r="E856" s="223">
        <v>186</v>
      </c>
      <c r="F856" s="223">
        <v>24</v>
      </c>
      <c r="G856" s="333">
        <f t="shared" ref="G856:G917" si="32">F856/E856</f>
        <v>0.12903225806451613</v>
      </c>
      <c r="H856" s="225" t="s">
        <v>1180</v>
      </c>
      <c r="I856" s="221"/>
      <c r="J856" s="334"/>
      <c r="K856" s="221"/>
      <c r="L856" s="221"/>
      <c r="M856" s="221"/>
      <c r="N856" s="335"/>
      <c r="O856" s="221"/>
      <c r="P856" s="221"/>
      <c r="Q856" s="221"/>
      <c r="R856" s="221"/>
      <c r="S856" s="221"/>
      <c r="T856" s="221"/>
      <c r="U856" s="221"/>
      <c r="V856" s="221"/>
      <c r="W856" s="221"/>
      <c r="X856" s="221"/>
      <c r="Y856" s="221"/>
      <c r="Z856" s="221"/>
      <c r="AA856" s="221"/>
      <c r="AB856" s="221"/>
      <c r="AC856" s="221"/>
      <c r="AD856" s="221"/>
      <c r="AE856" s="221"/>
      <c r="AF856" s="221"/>
      <c r="AG856" s="221"/>
      <c r="AH856" s="221"/>
    </row>
    <row r="857" spans="1:34" ht="40.5" customHeight="1" x14ac:dyDescent="0.25">
      <c r="A857" s="948"/>
      <c r="B857" s="295" t="s">
        <v>1167</v>
      </c>
      <c r="C857" s="332" t="s">
        <v>1168</v>
      </c>
      <c r="D857" s="332">
        <v>20</v>
      </c>
      <c r="E857" s="223">
        <v>0.35</v>
      </c>
      <c r="F857" s="223">
        <v>5.4699999999999999E-2</v>
      </c>
      <c r="G857" s="333">
        <f t="shared" si="32"/>
        <v>0.15628571428571431</v>
      </c>
      <c r="H857" s="225" t="s">
        <v>1181</v>
      </c>
      <c r="I857" s="221"/>
      <c r="J857" s="334"/>
      <c r="K857" s="221"/>
      <c r="L857" s="221"/>
      <c r="M857" s="221"/>
      <c r="N857" s="335"/>
      <c r="O857" s="221"/>
      <c r="P857" s="221"/>
      <c r="Q857" s="221"/>
      <c r="R857" s="221"/>
      <c r="S857" s="221"/>
      <c r="T857" s="221"/>
      <c r="U857" s="221"/>
      <c r="V857" s="221"/>
      <c r="W857" s="221"/>
      <c r="X857" s="221"/>
      <c r="Y857" s="221"/>
      <c r="Z857" s="221"/>
      <c r="AA857" s="221"/>
      <c r="AB857" s="221"/>
      <c r="AC857" s="221"/>
      <c r="AD857" s="221"/>
      <c r="AE857" s="221"/>
      <c r="AF857" s="221"/>
      <c r="AG857" s="221"/>
      <c r="AH857" s="221"/>
    </row>
    <row r="858" spans="1:34" ht="40.5" customHeight="1" x14ac:dyDescent="0.25">
      <c r="A858" s="948"/>
      <c r="B858" s="295" t="s">
        <v>1170</v>
      </c>
      <c r="C858" s="332" t="s">
        <v>176</v>
      </c>
      <c r="D858" s="332">
        <v>20</v>
      </c>
      <c r="E858" s="223">
        <v>0.2</v>
      </c>
      <c r="F858" s="223">
        <v>0.04</v>
      </c>
      <c r="G858" s="333">
        <f t="shared" si="32"/>
        <v>0.19999999999999998</v>
      </c>
      <c r="H858" s="336" t="s">
        <v>1182</v>
      </c>
      <c r="I858" s="221"/>
      <c r="J858" s="334"/>
      <c r="K858" s="221"/>
      <c r="L858" s="221"/>
      <c r="M858" s="221"/>
      <c r="N858" s="335"/>
      <c r="O858" s="221"/>
      <c r="P858" s="221"/>
      <c r="Q858" s="221"/>
      <c r="R858" s="221"/>
      <c r="S858" s="221"/>
      <c r="T858" s="221"/>
      <c r="U858" s="221"/>
      <c r="V858" s="221"/>
      <c r="W858" s="221"/>
      <c r="X858" s="221"/>
      <c r="Y858" s="221"/>
      <c r="Z858" s="221"/>
      <c r="AA858" s="221"/>
      <c r="AB858" s="221"/>
      <c r="AC858" s="221"/>
      <c r="AD858" s="221"/>
      <c r="AE858" s="221"/>
      <c r="AF858" s="221"/>
      <c r="AG858" s="221"/>
      <c r="AH858" s="221"/>
    </row>
    <row r="859" spans="1:34" ht="40.5" customHeight="1" x14ac:dyDescent="0.25">
      <c r="A859" s="948"/>
      <c r="B859" s="295" t="s">
        <v>1172</v>
      </c>
      <c r="C859" s="332" t="s">
        <v>176</v>
      </c>
      <c r="D859" s="332">
        <v>20</v>
      </c>
      <c r="E859" s="223">
        <v>22</v>
      </c>
      <c r="F859" s="223">
        <v>3.08</v>
      </c>
      <c r="G859" s="333">
        <f t="shared" si="32"/>
        <v>0.14000000000000001</v>
      </c>
      <c r="H859" s="225" t="s">
        <v>1183</v>
      </c>
      <c r="I859" s="221"/>
      <c r="J859" s="334"/>
      <c r="K859" s="221"/>
      <c r="L859" s="221"/>
      <c r="M859" s="221"/>
      <c r="N859" s="335"/>
      <c r="O859" s="221"/>
      <c r="P859" s="221"/>
      <c r="Q859" s="221"/>
      <c r="R859" s="221"/>
      <c r="S859" s="221"/>
      <c r="T859" s="221"/>
      <c r="U859" s="221"/>
      <c r="V859" s="221"/>
      <c r="W859" s="221"/>
      <c r="X859" s="221"/>
      <c r="Y859" s="221"/>
      <c r="Z859" s="221"/>
      <c r="AA859" s="221"/>
      <c r="AB859" s="221"/>
      <c r="AC859" s="221"/>
      <c r="AD859" s="221"/>
      <c r="AE859" s="221"/>
      <c r="AF859" s="221"/>
      <c r="AG859" s="221"/>
      <c r="AH859" s="221"/>
    </row>
    <row r="860" spans="1:34" ht="48.75" customHeight="1" x14ac:dyDescent="0.25">
      <c r="A860" s="953"/>
      <c r="B860" s="295" t="s">
        <v>1174</v>
      </c>
      <c r="C860" s="332" t="s">
        <v>176</v>
      </c>
      <c r="D860" s="332">
        <v>20</v>
      </c>
      <c r="E860" s="223">
        <v>0.1</v>
      </c>
      <c r="F860" s="223">
        <v>0.02</v>
      </c>
      <c r="G860" s="224">
        <f t="shared" si="32"/>
        <v>0.19999999999999998</v>
      </c>
      <c r="H860" s="225" t="s">
        <v>1184</v>
      </c>
      <c r="I860" s="221"/>
      <c r="J860" s="334"/>
      <c r="K860" s="221"/>
      <c r="L860" s="221"/>
      <c r="M860" s="221"/>
      <c r="N860" s="335"/>
      <c r="O860" s="221"/>
      <c r="P860" s="221"/>
      <c r="Q860" s="221"/>
      <c r="R860" s="221"/>
      <c r="S860" s="221"/>
      <c r="T860" s="221"/>
      <c r="U860" s="221"/>
      <c r="V860" s="221"/>
      <c r="W860" s="221"/>
      <c r="X860" s="221"/>
      <c r="Y860" s="221"/>
      <c r="Z860" s="221"/>
      <c r="AA860" s="221"/>
      <c r="AB860" s="221"/>
      <c r="AC860" s="221"/>
      <c r="AD860" s="221"/>
      <c r="AE860" s="221"/>
      <c r="AF860" s="221"/>
      <c r="AG860" s="221"/>
      <c r="AH860" s="221"/>
    </row>
    <row r="861" spans="1:34" ht="48.75" customHeight="1" x14ac:dyDescent="0.25">
      <c r="A861" s="952" t="s">
        <v>940</v>
      </c>
      <c r="B861" s="295" t="s">
        <v>1165</v>
      </c>
      <c r="C861" s="332" t="s">
        <v>176</v>
      </c>
      <c r="D861" s="332">
        <v>20</v>
      </c>
      <c r="E861" s="223">
        <v>186</v>
      </c>
      <c r="F861" s="223">
        <v>24</v>
      </c>
      <c r="G861" s="333">
        <f t="shared" si="32"/>
        <v>0.12903225806451613</v>
      </c>
      <c r="H861" s="225" t="s">
        <v>1180</v>
      </c>
      <c r="J861" s="125"/>
      <c r="N861" s="162"/>
    </row>
    <row r="862" spans="1:34" ht="48.75" customHeight="1" x14ac:dyDescent="0.25">
      <c r="A862" s="948"/>
      <c r="B862" s="295" t="s">
        <v>1167</v>
      </c>
      <c r="C862" s="332" t="s">
        <v>1168</v>
      </c>
      <c r="D862" s="332">
        <v>20</v>
      </c>
      <c r="E862" s="223">
        <v>0.35</v>
      </c>
      <c r="F862" s="223">
        <v>5.4699999999999999E-2</v>
      </c>
      <c r="G862" s="333">
        <f t="shared" si="32"/>
        <v>0.15628571428571431</v>
      </c>
      <c r="H862" s="225" t="s">
        <v>1181</v>
      </c>
      <c r="J862" s="125"/>
      <c r="N862" s="162"/>
    </row>
    <row r="863" spans="1:34" ht="48.75" customHeight="1" x14ac:dyDescent="0.25">
      <c r="A863" s="948"/>
      <c r="B863" s="295" t="s">
        <v>1170</v>
      </c>
      <c r="C863" s="332" t="s">
        <v>176</v>
      </c>
      <c r="D863" s="332">
        <v>20</v>
      </c>
      <c r="E863" s="223">
        <v>0.2</v>
      </c>
      <c r="F863" s="223">
        <v>0.04</v>
      </c>
      <c r="G863" s="333">
        <f t="shared" si="32"/>
        <v>0.19999999999999998</v>
      </c>
      <c r="H863" s="336" t="s">
        <v>1182</v>
      </c>
      <c r="J863" s="125"/>
      <c r="N863" s="162"/>
    </row>
    <row r="864" spans="1:34" ht="48.75" customHeight="1" x14ac:dyDescent="0.25">
      <c r="A864" s="948"/>
      <c r="B864" s="295" t="s">
        <v>1172</v>
      </c>
      <c r="C864" s="332" t="s">
        <v>176</v>
      </c>
      <c r="D864" s="332">
        <v>20</v>
      </c>
      <c r="E864" s="223">
        <v>22</v>
      </c>
      <c r="F864" s="223">
        <v>3.08</v>
      </c>
      <c r="G864" s="333">
        <f t="shared" si="32"/>
        <v>0.14000000000000001</v>
      </c>
      <c r="H864" s="225" t="s">
        <v>1183</v>
      </c>
      <c r="J864" s="125"/>
      <c r="N864" s="162"/>
    </row>
    <row r="865" spans="1:14" ht="48.75" customHeight="1" x14ac:dyDescent="0.25">
      <c r="A865" s="953"/>
      <c r="B865" s="295" t="s">
        <v>1174</v>
      </c>
      <c r="C865" s="332" t="s">
        <v>176</v>
      </c>
      <c r="D865" s="332">
        <v>20</v>
      </c>
      <c r="E865" s="223">
        <v>0.1</v>
      </c>
      <c r="F865" s="223">
        <v>0.02</v>
      </c>
      <c r="G865" s="224">
        <f t="shared" si="32"/>
        <v>0.19999999999999998</v>
      </c>
      <c r="H865" s="225" t="s">
        <v>1184</v>
      </c>
      <c r="J865" s="125"/>
      <c r="N865" s="162"/>
    </row>
    <row r="866" spans="1:14" ht="48.75" customHeight="1" x14ac:dyDescent="0.25">
      <c r="A866" s="952" t="s">
        <v>941</v>
      </c>
      <c r="B866" s="295" t="s">
        <v>1165</v>
      </c>
      <c r="C866" s="332" t="s">
        <v>176</v>
      </c>
      <c r="D866" s="332">
        <v>20</v>
      </c>
      <c r="E866" s="223">
        <v>186</v>
      </c>
      <c r="F866" s="223">
        <v>41</v>
      </c>
      <c r="G866" s="333">
        <f t="shared" si="32"/>
        <v>0.22043010752688172</v>
      </c>
      <c r="H866" s="225" t="s">
        <v>1185</v>
      </c>
      <c r="J866" s="125"/>
      <c r="N866" s="162"/>
    </row>
    <row r="867" spans="1:14" ht="48.75" customHeight="1" x14ac:dyDescent="0.25">
      <c r="A867" s="948"/>
      <c r="B867" s="295" t="s">
        <v>1167</v>
      </c>
      <c r="C867" s="332" t="s">
        <v>1168</v>
      </c>
      <c r="D867" s="332">
        <v>20</v>
      </c>
      <c r="E867" s="223">
        <v>0.35</v>
      </c>
      <c r="F867" s="223">
        <v>8.43E-2</v>
      </c>
      <c r="G867" s="333">
        <f t="shared" si="32"/>
        <v>0.24085714285714288</v>
      </c>
      <c r="H867" s="225" t="s">
        <v>1186</v>
      </c>
      <c r="J867" s="125"/>
      <c r="N867" s="162"/>
    </row>
    <row r="868" spans="1:14" ht="48.75" customHeight="1" x14ac:dyDescent="0.25">
      <c r="A868" s="948"/>
      <c r="B868" s="295" t="s">
        <v>1170</v>
      </c>
      <c r="C868" s="332" t="s">
        <v>176</v>
      </c>
      <c r="D868" s="332">
        <v>20</v>
      </c>
      <c r="E868" s="223">
        <v>0.2</v>
      </c>
      <c r="F868" s="223">
        <v>0.05</v>
      </c>
      <c r="G868" s="333">
        <f t="shared" si="32"/>
        <v>0.25</v>
      </c>
      <c r="H868" s="336" t="s">
        <v>1187</v>
      </c>
      <c r="J868" s="125"/>
      <c r="N868" s="162"/>
    </row>
    <row r="869" spans="1:14" ht="48.75" customHeight="1" x14ac:dyDescent="0.25">
      <c r="A869" s="948"/>
      <c r="B869" s="295" t="s">
        <v>1172</v>
      </c>
      <c r="C869" s="332" t="s">
        <v>176</v>
      </c>
      <c r="D869" s="332">
        <v>20</v>
      </c>
      <c r="E869" s="223">
        <v>22</v>
      </c>
      <c r="F869" s="234">
        <v>5.0600000000000005</v>
      </c>
      <c r="G869" s="333">
        <f t="shared" si="32"/>
        <v>0.23</v>
      </c>
      <c r="H869" s="236" t="s">
        <v>1188</v>
      </c>
      <c r="J869" s="125"/>
      <c r="N869" s="162"/>
    </row>
    <row r="870" spans="1:14" ht="48.75" customHeight="1" x14ac:dyDescent="0.25">
      <c r="A870" s="953"/>
      <c r="B870" s="295" t="s">
        <v>1174</v>
      </c>
      <c r="C870" s="332" t="s">
        <v>176</v>
      </c>
      <c r="D870" s="332">
        <v>20</v>
      </c>
      <c r="E870" s="223">
        <v>0.1</v>
      </c>
      <c r="F870" s="223">
        <v>2.8000000000000001E-2</v>
      </c>
      <c r="G870" s="224">
        <f t="shared" si="32"/>
        <v>0.27999999999999997</v>
      </c>
      <c r="H870" s="225" t="s">
        <v>1189</v>
      </c>
      <c r="J870" s="125"/>
      <c r="N870" s="162"/>
    </row>
    <row r="871" spans="1:14" ht="48.75" customHeight="1" x14ac:dyDescent="0.25">
      <c r="A871" s="952" t="s">
        <v>942</v>
      </c>
      <c r="B871" s="295" t="s">
        <v>1165</v>
      </c>
      <c r="C871" s="332" t="s">
        <v>176</v>
      </c>
      <c r="D871" s="332">
        <v>20</v>
      </c>
      <c r="E871" s="223">
        <v>186</v>
      </c>
      <c r="F871" s="223">
        <v>58</v>
      </c>
      <c r="G871" s="333">
        <f t="shared" si="32"/>
        <v>0.31182795698924731</v>
      </c>
      <c r="H871" s="225" t="s">
        <v>1190</v>
      </c>
      <c r="J871" s="125"/>
      <c r="N871" s="162"/>
    </row>
    <row r="872" spans="1:14" ht="48.75" customHeight="1" x14ac:dyDescent="0.25">
      <c r="A872" s="948"/>
      <c r="B872" s="295" t="s">
        <v>1167</v>
      </c>
      <c r="C872" s="332" t="s">
        <v>1168</v>
      </c>
      <c r="D872" s="332">
        <v>20</v>
      </c>
      <c r="E872" s="223">
        <v>0.35</v>
      </c>
      <c r="F872" s="223">
        <v>0.1143</v>
      </c>
      <c r="G872" s="333">
        <f t="shared" si="32"/>
        <v>0.32657142857142857</v>
      </c>
      <c r="H872" s="336" t="s">
        <v>1191</v>
      </c>
      <c r="J872" s="125"/>
      <c r="N872" s="162"/>
    </row>
    <row r="873" spans="1:14" ht="48.75" customHeight="1" x14ac:dyDescent="0.25">
      <c r="A873" s="948"/>
      <c r="B873" s="295" t="s">
        <v>1170</v>
      </c>
      <c r="C873" s="332" t="s">
        <v>176</v>
      </c>
      <c r="D873" s="332">
        <v>20</v>
      </c>
      <c r="E873" s="223">
        <v>0.2</v>
      </c>
      <c r="F873" s="223">
        <v>0.06</v>
      </c>
      <c r="G873" s="333">
        <f t="shared" si="32"/>
        <v>0.3</v>
      </c>
      <c r="H873" s="336" t="s">
        <v>1192</v>
      </c>
      <c r="J873" s="125"/>
      <c r="N873" s="162"/>
    </row>
    <row r="874" spans="1:14" ht="48.75" customHeight="1" x14ac:dyDescent="0.25">
      <c r="A874" s="948"/>
      <c r="B874" s="295" t="s">
        <v>1172</v>
      </c>
      <c r="C874" s="332" t="s">
        <v>176</v>
      </c>
      <c r="D874" s="332">
        <v>20</v>
      </c>
      <c r="E874" s="223">
        <v>22</v>
      </c>
      <c r="F874" s="234">
        <v>7.04</v>
      </c>
      <c r="G874" s="333">
        <f t="shared" si="32"/>
        <v>0.32</v>
      </c>
      <c r="H874" s="236" t="s">
        <v>1006</v>
      </c>
      <c r="J874" s="125"/>
      <c r="N874" s="162"/>
    </row>
    <row r="875" spans="1:14" ht="48.75" customHeight="1" x14ac:dyDescent="0.25">
      <c r="A875" s="953"/>
      <c r="B875" s="295" t="s">
        <v>1174</v>
      </c>
      <c r="C875" s="332" t="s">
        <v>176</v>
      </c>
      <c r="D875" s="332">
        <v>20</v>
      </c>
      <c r="E875" s="223">
        <v>0.1</v>
      </c>
      <c r="F875" s="223">
        <v>3.5999999999999997E-2</v>
      </c>
      <c r="G875" s="224">
        <f t="shared" si="32"/>
        <v>0.35999999999999993</v>
      </c>
      <c r="H875" s="225" t="s">
        <v>1193</v>
      </c>
      <c r="J875" s="125"/>
      <c r="N875" s="162"/>
    </row>
    <row r="876" spans="1:14" ht="48.75" customHeight="1" x14ac:dyDescent="0.25">
      <c r="A876" s="952" t="s">
        <v>943</v>
      </c>
      <c r="B876" s="295" t="s">
        <v>1165</v>
      </c>
      <c r="C876" s="332" t="s">
        <v>176</v>
      </c>
      <c r="D876" s="332">
        <v>20</v>
      </c>
      <c r="E876" s="223">
        <v>186</v>
      </c>
      <c r="F876" s="223">
        <v>75</v>
      </c>
      <c r="G876" s="333">
        <f t="shared" si="32"/>
        <v>0.40322580645161288</v>
      </c>
      <c r="H876" s="225" t="s">
        <v>1194</v>
      </c>
      <c r="J876" s="125"/>
      <c r="N876" s="162"/>
    </row>
    <row r="877" spans="1:14" ht="48.75" customHeight="1" x14ac:dyDescent="0.25">
      <c r="A877" s="948"/>
      <c r="B877" s="295" t="s">
        <v>1167</v>
      </c>
      <c r="C877" s="332" t="s">
        <v>1168</v>
      </c>
      <c r="D877" s="332">
        <v>20</v>
      </c>
      <c r="E877" s="223">
        <v>0.35</v>
      </c>
      <c r="F877" s="223">
        <v>0.14630000000000001</v>
      </c>
      <c r="G877" s="333">
        <f t="shared" si="32"/>
        <v>0.41800000000000004</v>
      </c>
      <c r="H877" s="336" t="s">
        <v>1195</v>
      </c>
      <c r="J877" s="125"/>
      <c r="N877" s="162"/>
    </row>
    <row r="878" spans="1:14" ht="48.75" customHeight="1" x14ac:dyDescent="0.25">
      <c r="A878" s="948"/>
      <c r="B878" s="295" t="s">
        <v>1170</v>
      </c>
      <c r="C878" s="332" t="s">
        <v>176</v>
      </c>
      <c r="D878" s="332">
        <v>20</v>
      </c>
      <c r="E878" s="223">
        <v>0.2</v>
      </c>
      <c r="F878" s="223">
        <v>7.0000000000000007E-2</v>
      </c>
      <c r="G878" s="333">
        <f t="shared" si="32"/>
        <v>0.35000000000000003</v>
      </c>
      <c r="H878" s="336" t="s">
        <v>1196</v>
      </c>
      <c r="J878" s="125"/>
      <c r="N878" s="162"/>
    </row>
    <row r="879" spans="1:14" ht="48.75" customHeight="1" x14ac:dyDescent="0.25">
      <c r="A879" s="948"/>
      <c r="B879" s="295" t="s">
        <v>1172</v>
      </c>
      <c r="C879" s="332" t="s">
        <v>176</v>
      </c>
      <c r="D879" s="332">
        <v>20</v>
      </c>
      <c r="E879" s="223">
        <v>22</v>
      </c>
      <c r="F879" s="234">
        <v>9.02</v>
      </c>
      <c r="G879" s="333">
        <f t="shared" si="32"/>
        <v>0.41</v>
      </c>
      <c r="H879" s="236" t="s">
        <v>1197</v>
      </c>
      <c r="J879" s="125"/>
      <c r="N879" s="162"/>
    </row>
    <row r="880" spans="1:14" ht="48.75" customHeight="1" x14ac:dyDescent="0.25">
      <c r="A880" s="953"/>
      <c r="B880" s="295" t="s">
        <v>1174</v>
      </c>
      <c r="C880" s="332" t="s">
        <v>176</v>
      </c>
      <c r="D880" s="332">
        <v>20</v>
      </c>
      <c r="E880" s="223">
        <v>0.1</v>
      </c>
      <c r="F880" s="223">
        <v>4.3999999999999997E-2</v>
      </c>
      <c r="G880" s="224">
        <f t="shared" si="32"/>
        <v>0.43999999999999995</v>
      </c>
      <c r="H880" s="225" t="s">
        <v>1198</v>
      </c>
      <c r="J880" s="125"/>
      <c r="N880" s="162"/>
    </row>
    <row r="881" spans="1:14" ht="48.75" customHeight="1" x14ac:dyDescent="0.25">
      <c r="A881" s="952" t="s">
        <v>944</v>
      </c>
      <c r="B881" s="295" t="s">
        <v>1165</v>
      </c>
      <c r="C881" s="332" t="s">
        <v>176</v>
      </c>
      <c r="D881" s="332">
        <v>20</v>
      </c>
      <c r="E881" s="223">
        <v>186</v>
      </c>
      <c r="F881" s="223">
        <v>92</v>
      </c>
      <c r="G881" s="333">
        <f t="shared" si="32"/>
        <v>0.4946236559139785</v>
      </c>
      <c r="H881" s="225" t="s">
        <v>1199</v>
      </c>
      <c r="J881" s="125"/>
      <c r="N881" s="162"/>
    </row>
    <row r="882" spans="1:14" ht="48.75" customHeight="1" x14ac:dyDescent="0.25">
      <c r="A882" s="948"/>
      <c r="B882" s="295" t="s">
        <v>1167</v>
      </c>
      <c r="C882" s="332" t="s">
        <v>1168</v>
      </c>
      <c r="D882" s="332">
        <v>20</v>
      </c>
      <c r="E882" s="223">
        <v>0.17599999999999999</v>
      </c>
      <c r="F882" s="223">
        <v>0.14630000000000001</v>
      </c>
      <c r="G882" s="333">
        <f t="shared" si="32"/>
        <v>0.83125000000000016</v>
      </c>
      <c r="H882" s="225" t="s">
        <v>1200</v>
      </c>
      <c r="J882" s="125"/>
      <c r="N882" s="162"/>
    </row>
    <row r="883" spans="1:14" ht="48.75" customHeight="1" x14ac:dyDescent="0.25">
      <c r="A883" s="948"/>
      <c r="B883" s="295" t="s">
        <v>1170</v>
      </c>
      <c r="C883" s="332" t="s">
        <v>176</v>
      </c>
      <c r="D883" s="332">
        <v>20</v>
      </c>
      <c r="E883" s="223">
        <v>0.2</v>
      </c>
      <c r="F883" s="223">
        <v>0.08</v>
      </c>
      <c r="G883" s="333">
        <f t="shared" si="32"/>
        <v>0.39999999999999997</v>
      </c>
      <c r="H883" s="225" t="s">
        <v>1201</v>
      </c>
      <c r="J883" s="125"/>
      <c r="N883" s="162"/>
    </row>
    <row r="884" spans="1:14" ht="48.75" customHeight="1" x14ac:dyDescent="0.25">
      <c r="A884" s="948"/>
      <c r="B884" s="295" t="s">
        <v>1172</v>
      </c>
      <c r="C884" s="332" t="s">
        <v>176</v>
      </c>
      <c r="D884" s="332">
        <v>20</v>
      </c>
      <c r="E884" s="223">
        <v>22</v>
      </c>
      <c r="F884" s="234">
        <v>11</v>
      </c>
      <c r="G884" s="333">
        <f t="shared" si="32"/>
        <v>0.5</v>
      </c>
      <c r="H884" s="225" t="s">
        <v>1202</v>
      </c>
      <c r="J884" s="125"/>
      <c r="N884" s="162"/>
    </row>
    <row r="885" spans="1:14" ht="48.75" customHeight="1" x14ac:dyDescent="0.25">
      <c r="A885" s="953"/>
      <c r="B885" s="295" t="s">
        <v>1174</v>
      </c>
      <c r="C885" s="332" t="s">
        <v>176</v>
      </c>
      <c r="D885" s="332">
        <v>20</v>
      </c>
      <c r="E885" s="223">
        <v>0.1</v>
      </c>
      <c r="F885" s="223">
        <v>5.1999999999999998E-2</v>
      </c>
      <c r="G885" s="224">
        <f t="shared" si="32"/>
        <v>0.51999999999999991</v>
      </c>
      <c r="H885" s="225" t="s">
        <v>1203</v>
      </c>
      <c r="J885" s="125"/>
      <c r="N885" s="162"/>
    </row>
    <row r="886" spans="1:14" ht="48.75" customHeight="1" x14ac:dyDescent="0.25">
      <c r="A886" s="966" t="s">
        <v>931</v>
      </c>
      <c r="B886" s="295" t="s">
        <v>1165</v>
      </c>
      <c r="C886" s="332" t="s">
        <v>176</v>
      </c>
      <c r="D886" s="332">
        <v>20</v>
      </c>
      <c r="E886" s="223">
        <v>186</v>
      </c>
      <c r="F886" s="234">
        <v>109</v>
      </c>
      <c r="G886" s="337">
        <f t="shared" si="32"/>
        <v>0.58602150537634412</v>
      </c>
      <c r="H886" s="236" t="s">
        <v>1204</v>
      </c>
      <c r="J886" s="125"/>
      <c r="N886" s="162"/>
    </row>
    <row r="887" spans="1:14" ht="48.75" customHeight="1" x14ac:dyDescent="0.25">
      <c r="A887" s="948"/>
      <c r="B887" s="295" t="s">
        <v>1167</v>
      </c>
      <c r="C887" s="332" t="s">
        <v>1168</v>
      </c>
      <c r="D887" s="332">
        <v>20</v>
      </c>
      <c r="E887" s="223">
        <v>0.17599999999999999</v>
      </c>
      <c r="F887" s="234">
        <v>0.20530000000000001</v>
      </c>
      <c r="G887" s="337">
        <f t="shared" si="32"/>
        <v>1.1664772727272728</v>
      </c>
      <c r="H887" s="236" t="s">
        <v>1205</v>
      </c>
      <c r="J887" s="125"/>
      <c r="N887" s="162"/>
    </row>
    <row r="888" spans="1:14" ht="48.75" customHeight="1" x14ac:dyDescent="0.25">
      <c r="A888" s="948"/>
      <c r="B888" s="295" t="s">
        <v>1170</v>
      </c>
      <c r="C888" s="332" t="s">
        <v>176</v>
      </c>
      <c r="D888" s="332">
        <v>20</v>
      </c>
      <c r="E888" s="223">
        <v>0.2</v>
      </c>
      <c r="F888" s="234">
        <v>0.1</v>
      </c>
      <c r="G888" s="337">
        <f t="shared" si="32"/>
        <v>0.5</v>
      </c>
      <c r="H888" s="236" t="s">
        <v>1206</v>
      </c>
      <c r="J888" s="125"/>
      <c r="N888" s="162"/>
    </row>
    <row r="889" spans="1:14" ht="48.75" customHeight="1" x14ac:dyDescent="0.25">
      <c r="A889" s="948"/>
      <c r="B889" s="295" t="s">
        <v>1172</v>
      </c>
      <c r="C889" s="332" t="s">
        <v>176</v>
      </c>
      <c r="D889" s="332">
        <v>20</v>
      </c>
      <c r="E889" s="223">
        <v>22</v>
      </c>
      <c r="F889" s="234">
        <v>12.98</v>
      </c>
      <c r="G889" s="337">
        <f t="shared" si="32"/>
        <v>0.59</v>
      </c>
      <c r="H889" s="236" t="s">
        <v>1207</v>
      </c>
      <c r="J889" s="125"/>
      <c r="N889" s="162"/>
    </row>
    <row r="890" spans="1:14" ht="48.75" customHeight="1" x14ac:dyDescent="0.25">
      <c r="A890" s="953"/>
      <c r="B890" s="295" t="s">
        <v>1174</v>
      </c>
      <c r="C890" s="332" t="s">
        <v>176</v>
      </c>
      <c r="D890" s="332">
        <v>20</v>
      </c>
      <c r="E890" s="223">
        <v>0.1</v>
      </c>
      <c r="F890" s="234">
        <v>0.06</v>
      </c>
      <c r="G890" s="235">
        <f t="shared" si="32"/>
        <v>0.6</v>
      </c>
      <c r="H890" s="236" t="s">
        <v>1208</v>
      </c>
      <c r="J890" s="125"/>
      <c r="N890" s="162"/>
    </row>
    <row r="891" spans="1:14" ht="48.75" customHeight="1" x14ac:dyDescent="0.25">
      <c r="A891" s="966" t="s">
        <v>932</v>
      </c>
      <c r="B891" s="295" t="s">
        <v>1165</v>
      </c>
      <c r="C891" s="332" t="s">
        <v>176</v>
      </c>
      <c r="D891" s="332">
        <v>20</v>
      </c>
      <c r="E891" s="223">
        <v>186</v>
      </c>
      <c r="F891" s="234">
        <v>126</v>
      </c>
      <c r="G891" s="337">
        <f t="shared" si="32"/>
        <v>0.67741935483870963</v>
      </c>
      <c r="H891" s="236" t="s">
        <v>1204</v>
      </c>
      <c r="J891" s="125"/>
      <c r="N891" s="162"/>
    </row>
    <row r="892" spans="1:14" ht="48.75" customHeight="1" x14ac:dyDescent="0.25">
      <c r="A892" s="948"/>
      <c r="B892" s="295" t="s">
        <v>1167</v>
      </c>
      <c r="C892" s="332" t="s">
        <v>1168</v>
      </c>
      <c r="D892" s="332">
        <v>20</v>
      </c>
      <c r="E892" s="223">
        <v>0.17599999999999999</v>
      </c>
      <c r="F892" s="234">
        <v>0.2364</v>
      </c>
      <c r="G892" s="337">
        <f t="shared" si="32"/>
        <v>1.3431818181818183</v>
      </c>
      <c r="H892" s="236" t="s">
        <v>1209</v>
      </c>
      <c r="J892" s="125"/>
      <c r="N892" s="162"/>
    </row>
    <row r="893" spans="1:14" ht="48.75" customHeight="1" x14ac:dyDescent="0.25">
      <c r="A893" s="948"/>
      <c r="B893" s="295" t="s">
        <v>1170</v>
      </c>
      <c r="C893" s="332" t="s">
        <v>176</v>
      </c>
      <c r="D893" s="332">
        <v>20</v>
      </c>
      <c r="E893" s="223">
        <v>0.2</v>
      </c>
      <c r="F893" s="234">
        <v>0.11</v>
      </c>
      <c r="G893" s="337">
        <f t="shared" si="32"/>
        <v>0.54999999999999993</v>
      </c>
      <c r="H893" s="236" t="s">
        <v>1210</v>
      </c>
      <c r="J893" s="125"/>
      <c r="N893" s="162"/>
    </row>
    <row r="894" spans="1:14" ht="48.75" customHeight="1" x14ac:dyDescent="0.25">
      <c r="A894" s="948"/>
      <c r="B894" s="295" t="s">
        <v>1172</v>
      </c>
      <c r="C894" s="332" t="s">
        <v>176</v>
      </c>
      <c r="D894" s="332">
        <v>20</v>
      </c>
      <c r="E894" s="223">
        <v>22</v>
      </c>
      <c r="F894" s="234">
        <v>14.96</v>
      </c>
      <c r="G894" s="337">
        <f t="shared" si="32"/>
        <v>0.68</v>
      </c>
      <c r="H894" s="236" t="s">
        <v>1211</v>
      </c>
      <c r="J894" s="125"/>
      <c r="N894" s="162"/>
    </row>
    <row r="895" spans="1:14" ht="48.75" customHeight="1" x14ac:dyDescent="0.25">
      <c r="A895" s="953"/>
      <c r="B895" s="295" t="s">
        <v>1174</v>
      </c>
      <c r="C895" s="332" t="s">
        <v>176</v>
      </c>
      <c r="D895" s="332">
        <v>20</v>
      </c>
      <c r="E895" s="223">
        <v>0.1</v>
      </c>
      <c r="F895" s="234">
        <v>0.08</v>
      </c>
      <c r="G895" s="235">
        <f t="shared" si="32"/>
        <v>0.79999999999999993</v>
      </c>
      <c r="H895" s="236" t="s">
        <v>1212</v>
      </c>
      <c r="J895" s="125"/>
      <c r="N895" s="162"/>
    </row>
    <row r="896" spans="1:14" ht="48.75" customHeight="1" x14ac:dyDescent="0.25">
      <c r="A896" s="966" t="s">
        <v>933</v>
      </c>
      <c r="B896" s="295" t="s">
        <v>1165</v>
      </c>
      <c r="C896" s="332" t="s">
        <v>176</v>
      </c>
      <c r="D896" s="332">
        <v>20</v>
      </c>
      <c r="E896" s="223">
        <v>186</v>
      </c>
      <c r="F896" s="234">
        <v>143</v>
      </c>
      <c r="G896" s="337">
        <f t="shared" si="32"/>
        <v>0.76881720430107525</v>
      </c>
      <c r="H896" s="236" t="s">
        <v>1204</v>
      </c>
      <c r="J896" s="125"/>
      <c r="N896" s="162"/>
    </row>
    <row r="897" spans="1:14" ht="48.75" customHeight="1" x14ac:dyDescent="0.25">
      <c r="A897" s="948"/>
      <c r="B897" s="295" t="s">
        <v>1167</v>
      </c>
      <c r="C897" s="332" t="s">
        <v>1168</v>
      </c>
      <c r="D897" s="332">
        <v>20</v>
      </c>
      <c r="E897" s="223">
        <v>0.35</v>
      </c>
      <c r="F897" s="234">
        <v>0.26590000000000003</v>
      </c>
      <c r="G897" s="337">
        <f t="shared" si="32"/>
        <v>0.75971428571428579</v>
      </c>
      <c r="H897" s="236" t="s">
        <v>1213</v>
      </c>
      <c r="J897" s="125"/>
      <c r="N897" s="162"/>
    </row>
    <row r="898" spans="1:14" ht="48.75" customHeight="1" x14ac:dyDescent="0.25">
      <c r="A898" s="948"/>
      <c r="B898" s="295" t="s">
        <v>1170</v>
      </c>
      <c r="C898" s="332" t="s">
        <v>176</v>
      </c>
      <c r="D898" s="332">
        <v>20</v>
      </c>
      <c r="E898" s="223">
        <v>0.2</v>
      </c>
      <c r="F898" s="234">
        <v>0.12</v>
      </c>
      <c r="G898" s="337">
        <f t="shared" si="32"/>
        <v>0.6</v>
      </c>
      <c r="H898" s="236" t="s">
        <v>1214</v>
      </c>
      <c r="J898" s="125"/>
      <c r="N898" s="162"/>
    </row>
    <row r="899" spans="1:14" ht="48.75" customHeight="1" x14ac:dyDescent="0.25">
      <c r="A899" s="948"/>
      <c r="B899" s="295" t="s">
        <v>1172</v>
      </c>
      <c r="C899" s="332" t="s">
        <v>176</v>
      </c>
      <c r="D899" s="332">
        <v>20</v>
      </c>
      <c r="E899" s="223">
        <v>22</v>
      </c>
      <c r="F899" s="234">
        <v>16.940000000000001</v>
      </c>
      <c r="G899" s="337">
        <f t="shared" si="32"/>
        <v>0.77</v>
      </c>
      <c r="H899" s="236" t="s">
        <v>1215</v>
      </c>
      <c r="J899" s="125"/>
      <c r="N899" s="162"/>
    </row>
    <row r="900" spans="1:14" ht="48.75" customHeight="1" x14ac:dyDescent="0.25">
      <c r="A900" s="953"/>
      <c r="B900" s="295" t="s">
        <v>1174</v>
      </c>
      <c r="C900" s="332" t="s">
        <v>176</v>
      </c>
      <c r="D900" s="332">
        <v>20</v>
      </c>
      <c r="E900" s="223">
        <v>0.1</v>
      </c>
      <c r="F900" s="234">
        <v>8.5000000000000006E-2</v>
      </c>
      <c r="G900" s="235">
        <f t="shared" si="32"/>
        <v>0.85</v>
      </c>
      <c r="H900" s="236" t="s">
        <v>1216</v>
      </c>
      <c r="J900" s="125"/>
      <c r="N900" s="162"/>
    </row>
    <row r="901" spans="1:14" ht="48.75" customHeight="1" x14ac:dyDescent="0.25">
      <c r="A901" s="966" t="s">
        <v>934</v>
      </c>
      <c r="B901" s="295" t="s">
        <v>1165</v>
      </c>
      <c r="C901" s="332" t="s">
        <v>176</v>
      </c>
      <c r="D901" s="332">
        <v>20</v>
      </c>
      <c r="E901" s="223">
        <v>186</v>
      </c>
      <c r="F901" s="223">
        <v>160</v>
      </c>
      <c r="G901" s="333">
        <f t="shared" si="32"/>
        <v>0.86021505376344087</v>
      </c>
      <c r="H901" s="338" t="s">
        <v>1204</v>
      </c>
      <c r="J901" s="125"/>
      <c r="N901" s="162"/>
    </row>
    <row r="902" spans="1:14" ht="48.75" customHeight="1" x14ac:dyDescent="0.25">
      <c r="A902" s="948"/>
      <c r="B902" s="295" t="s">
        <v>1167</v>
      </c>
      <c r="C902" s="332" t="s">
        <v>1168</v>
      </c>
      <c r="D902" s="332">
        <v>20</v>
      </c>
      <c r="E902" s="223">
        <v>0.35</v>
      </c>
      <c r="F902" s="223">
        <v>0.29509999999999997</v>
      </c>
      <c r="G902" s="333">
        <f t="shared" si="32"/>
        <v>0.84314285714285708</v>
      </c>
      <c r="H902" s="339" t="s">
        <v>1217</v>
      </c>
      <c r="J902" s="125"/>
      <c r="N902" s="162"/>
    </row>
    <row r="903" spans="1:14" ht="48.75" customHeight="1" x14ac:dyDescent="0.25">
      <c r="A903" s="948"/>
      <c r="B903" s="295" t="s">
        <v>1170</v>
      </c>
      <c r="C903" s="332" t="s">
        <v>176</v>
      </c>
      <c r="D903" s="332">
        <v>20</v>
      </c>
      <c r="E903" s="223">
        <v>0.2</v>
      </c>
      <c r="F903" s="223">
        <v>0.18</v>
      </c>
      <c r="G903" s="333">
        <f t="shared" si="32"/>
        <v>0.89999999999999991</v>
      </c>
      <c r="H903" s="225" t="s">
        <v>1218</v>
      </c>
      <c r="J903" s="125"/>
      <c r="N903" s="162"/>
    </row>
    <row r="904" spans="1:14" ht="48.75" customHeight="1" x14ac:dyDescent="0.25">
      <c r="A904" s="948"/>
      <c r="B904" s="295" t="s">
        <v>1172</v>
      </c>
      <c r="C904" s="332" t="s">
        <v>176</v>
      </c>
      <c r="D904" s="332">
        <v>20</v>
      </c>
      <c r="E904" s="223">
        <v>22</v>
      </c>
      <c r="F904" s="223">
        <v>18.920000000000002</v>
      </c>
      <c r="G904" s="333">
        <f t="shared" si="32"/>
        <v>0.8600000000000001</v>
      </c>
      <c r="H904" s="225" t="s">
        <v>1219</v>
      </c>
      <c r="J904" s="125"/>
      <c r="N904" s="162"/>
    </row>
    <row r="905" spans="1:14" ht="48.75" customHeight="1" x14ac:dyDescent="0.25">
      <c r="A905" s="953"/>
      <c r="B905" s="295" t="s">
        <v>1174</v>
      </c>
      <c r="C905" s="332" t="s">
        <v>176</v>
      </c>
      <c r="D905" s="332">
        <v>20</v>
      </c>
      <c r="E905" s="223">
        <v>0.1</v>
      </c>
      <c r="F905" s="223">
        <v>0.09</v>
      </c>
      <c r="G905" s="224">
        <f t="shared" si="32"/>
        <v>0.89999999999999991</v>
      </c>
      <c r="H905" s="225" t="s">
        <v>1220</v>
      </c>
      <c r="J905" s="125"/>
      <c r="N905" s="162"/>
    </row>
    <row r="906" spans="1:14" ht="48.75" customHeight="1" x14ac:dyDescent="0.25">
      <c r="A906" s="966" t="s">
        <v>936</v>
      </c>
      <c r="B906" s="295" t="s">
        <v>1165</v>
      </c>
      <c r="C906" s="332" t="s">
        <v>176</v>
      </c>
      <c r="D906" s="332">
        <v>20</v>
      </c>
      <c r="E906" s="223">
        <v>186</v>
      </c>
      <c r="F906" s="223">
        <v>175</v>
      </c>
      <c r="G906" s="333">
        <f t="shared" si="32"/>
        <v>0.94086021505376349</v>
      </c>
      <c r="H906" s="338" t="s">
        <v>1221</v>
      </c>
      <c r="J906" s="125"/>
      <c r="N906" s="162"/>
    </row>
    <row r="907" spans="1:14" ht="48.75" customHeight="1" x14ac:dyDescent="0.25">
      <c r="A907" s="948"/>
      <c r="B907" s="295" t="s">
        <v>1167</v>
      </c>
      <c r="C907" s="332" t="s">
        <v>1168</v>
      </c>
      <c r="D907" s="332">
        <v>20</v>
      </c>
      <c r="E907" s="223">
        <v>0.35</v>
      </c>
      <c r="F907" s="223">
        <v>0.32419999999999999</v>
      </c>
      <c r="G907" s="333">
        <f t="shared" si="32"/>
        <v>0.92628571428571427</v>
      </c>
      <c r="H907" s="339" t="s">
        <v>1222</v>
      </c>
      <c r="J907" s="125"/>
      <c r="N907" s="162"/>
    </row>
    <row r="908" spans="1:14" ht="48.75" customHeight="1" x14ac:dyDescent="0.25">
      <c r="A908" s="948"/>
      <c r="B908" s="295" t="s">
        <v>1170</v>
      </c>
      <c r="C908" s="332" t="s">
        <v>176</v>
      </c>
      <c r="D908" s="332">
        <v>20</v>
      </c>
      <c r="E908" s="223">
        <v>0.2</v>
      </c>
      <c r="F908" s="223">
        <v>0.19</v>
      </c>
      <c r="G908" s="333">
        <f t="shared" si="32"/>
        <v>0.95</v>
      </c>
      <c r="H908" s="225" t="s">
        <v>1223</v>
      </c>
      <c r="J908" s="125"/>
      <c r="N908" s="162"/>
    </row>
    <row r="909" spans="1:14" ht="48.75" customHeight="1" x14ac:dyDescent="0.25">
      <c r="A909" s="948"/>
      <c r="B909" s="295" t="s">
        <v>1172</v>
      </c>
      <c r="C909" s="332" t="s">
        <v>176</v>
      </c>
      <c r="D909" s="332">
        <v>20</v>
      </c>
      <c r="E909" s="223">
        <v>22</v>
      </c>
      <c r="F909" s="223">
        <v>20.9</v>
      </c>
      <c r="G909" s="333">
        <f t="shared" si="32"/>
        <v>0.95</v>
      </c>
      <c r="H909" s="225" t="s">
        <v>1224</v>
      </c>
      <c r="J909" s="125"/>
      <c r="N909" s="162"/>
    </row>
    <row r="910" spans="1:14" ht="48.75" customHeight="1" x14ac:dyDescent="0.25">
      <c r="A910" s="953"/>
      <c r="B910" s="295" t="s">
        <v>1174</v>
      </c>
      <c r="C910" s="332" t="s">
        <v>176</v>
      </c>
      <c r="D910" s="332">
        <v>20</v>
      </c>
      <c r="E910" s="223">
        <v>0.1</v>
      </c>
      <c r="F910" s="223">
        <v>9.5000000000000001E-2</v>
      </c>
      <c r="G910" s="224">
        <f t="shared" si="32"/>
        <v>0.95</v>
      </c>
      <c r="H910" s="225" t="s">
        <v>1225</v>
      </c>
      <c r="J910" s="125"/>
      <c r="N910" s="162"/>
    </row>
    <row r="911" spans="1:14" ht="48.75" customHeight="1" x14ac:dyDescent="0.25">
      <c r="A911" s="966" t="s">
        <v>937</v>
      </c>
      <c r="B911" s="295" t="s">
        <v>1165</v>
      </c>
      <c r="C911" s="332" t="s">
        <v>176</v>
      </c>
      <c r="D911" s="332">
        <v>20</v>
      </c>
      <c r="E911" s="223">
        <v>186</v>
      </c>
      <c r="F911" s="223">
        <v>191</v>
      </c>
      <c r="G911" s="333">
        <f t="shared" si="32"/>
        <v>1.0268817204301075</v>
      </c>
      <c r="H911" s="338" t="s">
        <v>1226</v>
      </c>
      <c r="J911" s="125"/>
      <c r="N911" s="162"/>
    </row>
    <row r="912" spans="1:14" ht="48.75" customHeight="1" x14ac:dyDescent="0.25">
      <c r="A912" s="948"/>
      <c r="B912" s="295" t="s">
        <v>1167</v>
      </c>
      <c r="C912" s="332" t="s">
        <v>1168</v>
      </c>
      <c r="D912" s="332">
        <v>20</v>
      </c>
      <c r="E912" s="223">
        <v>0.35</v>
      </c>
      <c r="F912" s="223">
        <v>0.35399999999999998</v>
      </c>
      <c r="G912" s="333">
        <f t="shared" si="32"/>
        <v>1.0114285714285713</v>
      </c>
      <c r="H912" s="339" t="s">
        <v>1227</v>
      </c>
      <c r="J912" s="125"/>
      <c r="N912" s="162"/>
    </row>
    <row r="913" spans="1:14" ht="48" customHeight="1" x14ac:dyDescent="0.25">
      <c r="A913" s="948"/>
      <c r="B913" s="295" t="s">
        <v>1170</v>
      </c>
      <c r="C913" s="332" t="s">
        <v>176</v>
      </c>
      <c r="D913" s="332">
        <v>20</v>
      </c>
      <c r="E913" s="223">
        <v>0.2</v>
      </c>
      <c r="F913" s="223">
        <v>0.2</v>
      </c>
      <c r="G913" s="333">
        <f t="shared" si="32"/>
        <v>1</v>
      </c>
      <c r="H913" s="225" t="s">
        <v>1228</v>
      </c>
      <c r="J913" s="125"/>
      <c r="N913" s="162"/>
    </row>
    <row r="914" spans="1:14" ht="48" customHeight="1" x14ac:dyDescent="0.25">
      <c r="A914" s="948"/>
      <c r="B914" s="295" t="s">
        <v>1172</v>
      </c>
      <c r="C914" s="332" t="s">
        <v>176</v>
      </c>
      <c r="D914" s="332">
        <v>20</v>
      </c>
      <c r="E914" s="223">
        <v>22</v>
      </c>
      <c r="F914" s="223">
        <v>22</v>
      </c>
      <c r="G914" s="333">
        <f t="shared" si="32"/>
        <v>1</v>
      </c>
      <c r="H914" s="225" t="s">
        <v>1229</v>
      </c>
      <c r="J914" s="125"/>
      <c r="N914" s="162"/>
    </row>
    <row r="915" spans="1:14" ht="48" customHeight="1" x14ac:dyDescent="0.25">
      <c r="A915" s="953"/>
      <c r="B915" s="295" t="s">
        <v>1174</v>
      </c>
      <c r="C915" s="332" t="s">
        <v>176</v>
      </c>
      <c r="D915" s="332">
        <v>20</v>
      </c>
      <c r="E915" s="223">
        <v>0.1</v>
      </c>
      <c r="F915" s="223">
        <v>0.1</v>
      </c>
      <c r="G915" s="224">
        <f t="shared" si="32"/>
        <v>1</v>
      </c>
      <c r="H915" s="225" t="s">
        <v>1230</v>
      </c>
      <c r="J915" s="125"/>
      <c r="N915" s="162"/>
    </row>
    <row r="916" spans="1:14" ht="15.75" customHeight="1" x14ac:dyDescent="0.25">
      <c r="A916" s="175"/>
      <c r="B916" s="167"/>
      <c r="C916" s="168"/>
      <c r="D916" s="168"/>
      <c r="E916" s="158"/>
      <c r="F916" s="158"/>
      <c r="G916" s="158" t="e">
        <f t="shared" si="32"/>
        <v>#DIV/0!</v>
      </c>
      <c r="H916" s="169"/>
      <c r="J916" s="125"/>
      <c r="N916" s="162"/>
    </row>
    <row r="917" spans="1:14" ht="12.75" customHeight="1" x14ac:dyDescent="0.25">
      <c r="A917" s="179"/>
      <c r="B917" s="204"/>
      <c r="C917" s="205"/>
      <c r="D917" s="205"/>
      <c r="E917" s="206"/>
      <c r="F917" s="206"/>
      <c r="G917" s="206" t="e">
        <f t="shared" si="32"/>
        <v>#DIV/0!</v>
      </c>
      <c r="H917" s="340"/>
      <c r="J917" s="125"/>
      <c r="N917" s="162"/>
    </row>
    <row r="918" spans="1:14" ht="15.75" customHeight="1" x14ac:dyDescent="0.25">
      <c r="B918" s="161"/>
      <c r="C918" s="162"/>
      <c r="D918" s="162"/>
      <c r="J918" s="125"/>
      <c r="N918" s="162"/>
    </row>
    <row r="919" spans="1:14" ht="15.75" customHeight="1" x14ac:dyDescent="0.3">
      <c r="A919" s="956" t="s">
        <v>1231</v>
      </c>
      <c r="B919" s="679"/>
      <c r="C919" s="679"/>
      <c r="D919" s="679"/>
      <c r="E919" s="679"/>
      <c r="F919" s="679"/>
      <c r="G919" s="679"/>
      <c r="H919" s="721"/>
      <c r="J919" s="125"/>
      <c r="N919" s="162"/>
    </row>
    <row r="920" spans="1:14" ht="54.75" customHeight="1" x14ac:dyDescent="0.25">
      <c r="A920" s="163" t="s">
        <v>26</v>
      </c>
      <c r="B920" s="164" t="s">
        <v>1161</v>
      </c>
      <c r="C920" s="325" t="s">
        <v>953</v>
      </c>
      <c r="D920" s="325" t="s">
        <v>1041</v>
      </c>
      <c r="E920" s="325" t="s">
        <v>1232</v>
      </c>
      <c r="F920" s="325" t="s">
        <v>1233</v>
      </c>
      <c r="G920" s="325" t="s">
        <v>1234</v>
      </c>
      <c r="H920" s="165" t="s">
        <v>1147</v>
      </c>
      <c r="J920" s="125"/>
      <c r="N920" s="162"/>
    </row>
    <row r="921" spans="1:14" ht="48.75" customHeight="1" x14ac:dyDescent="0.25">
      <c r="A921" s="966" t="s">
        <v>939</v>
      </c>
      <c r="B921" s="295" t="s">
        <v>1165</v>
      </c>
      <c r="C921" s="332" t="s">
        <v>176</v>
      </c>
      <c r="D921" s="332">
        <v>20</v>
      </c>
      <c r="E921" s="223">
        <v>250</v>
      </c>
      <c r="F921" s="223">
        <v>0</v>
      </c>
      <c r="G921" s="333">
        <f t="shared" ref="G921:G975" si="33">F921/E921</f>
        <v>0</v>
      </c>
      <c r="H921" s="338" t="s">
        <v>1235</v>
      </c>
      <c r="J921" s="125"/>
      <c r="N921" s="162"/>
    </row>
    <row r="922" spans="1:14" ht="48.75" customHeight="1" x14ac:dyDescent="0.25">
      <c r="A922" s="948"/>
      <c r="B922" s="295" t="s">
        <v>1167</v>
      </c>
      <c r="C922" s="332" t="s">
        <v>1168</v>
      </c>
      <c r="D922" s="332">
        <v>20</v>
      </c>
      <c r="E922" s="223">
        <v>0.5</v>
      </c>
      <c r="F922" s="223">
        <v>4.0000000000000001E-3</v>
      </c>
      <c r="G922" s="333">
        <f t="shared" si="33"/>
        <v>8.0000000000000002E-3</v>
      </c>
      <c r="H922" s="339" t="s">
        <v>1236</v>
      </c>
      <c r="J922" s="125"/>
      <c r="N922" s="162"/>
    </row>
    <row r="923" spans="1:14" ht="48" customHeight="1" x14ac:dyDescent="0.25">
      <c r="A923" s="948"/>
      <c r="B923" s="295" t="s">
        <v>1170</v>
      </c>
      <c r="C923" s="332" t="s">
        <v>176</v>
      </c>
      <c r="D923" s="332">
        <v>20</v>
      </c>
      <c r="E923" s="223">
        <v>0.3</v>
      </c>
      <c r="F923" s="223">
        <v>0.01</v>
      </c>
      <c r="G923" s="333">
        <f t="shared" si="33"/>
        <v>3.3333333333333333E-2</v>
      </c>
      <c r="H923" s="225" t="s">
        <v>1237</v>
      </c>
      <c r="J923" s="125"/>
      <c r="N923" s="162"/>
    </row>
    <row r="924" spans="1:14" ht="48" customHeight="1" x14ac:dyDescent="0.25">
      <c r="A924" s="948"/>
      <c r="B924" s="295" t="s">
        <v>1172</v>
      </c>
      <c r="C924" s="332" t="s">
        <v>176</v>
      </c>
      <c r="D924" s="332">
        <v>20</v>
      </c>
      <c r="E924" s="223">
        <v>33</v>
      </c>
      <c r="F924" s="223">
        <v>0.99</v>
      </c>
      <c r="G924" s="333">
        <f t="shared" si="33"/>
        <v>0.03</v>
      </c>
      <c r="H924" s="225" t="s">
        <v>1238</v>
      </c>
      <c r="J924" s="125"/>
      <c r="N924" s="162"/>
    </row>
    <row r="925" spans="1:14" ht="48" customHeight="1" x14ac:dyDescent="0.25">
      <c r="A925" s="953"/>
      <c r="B925" s="295" t="s">
        <v>1174</v>
      </c>
      <c r="C925" s="332" t="s">
        <v>176</v>
      </c>
      <c r="D925" s="332">
        <v>20</v>
      </c>
      <c r="E925" s="223">
        <v>0.1</v>
      </c>
      <c r="F925" s="223">
        <v>0.01</v>
      </c>
      <c r="G925" s="224">
        <f t="shared" si="33"/>
        <v>9.9999999999999992E-2</v>
      </c>
      <c r="H925" s="225" t="s">
        <v>1239</v>
      </c>
      <c r="J925" s="125"/>
      <c r="N925" s="162"/>
    </row>
    <row r="926" spans="1:14" ht="48.75" customHeight="1" x14ac:dyDescent="0.25">
      <c r="A926" s="966" t="s">
        <v>940</v>
      </c>
      <c r="B926" s="295" t="s">
        <v>1165</v>
      </c>
      <c r="C926" s="332" t="s">
        <v>176</v>
      </c>
      <c r="D926" s="332">
        <v>20</v>
      </c>
      <c r="E926" s="223">
        <v>250</v>
      </c>
      <c r="F926" s="223">
        <v>24</v>
      </c>
      <c r="G926" s="333">
        <f t="shared" si="33"/>
        <v>9.6000000000000002E-2</v>
      </c>
      <c r="H926" s="222" t="s">
        <v>1240</v>
      </c>
      <c r="J926" s="125"/>
      <c r="N926" s="162"/>
    </row>
    <row r="927" spans="1:14" ht="48.75" customHeight="1" x14ac:dyDescent="0.25">
      <c r="A927" s="948"/>
      <c r="B927" s="295" t="s">
        <v>1167</v>
      </c>
      <c r="C927" s="332" t="s">
        <v>1168</v>
      </c>
      <c r="D927" s="332">
        <v>20</v>
      </c>
      <c r="E927" s="223">
        <v>0.5</v>
      </c>
      <c r="F927" s="223">
        <v>0.46400000000000002</v>
      </c>
      <c r="G927" s="333">
        <f t="shared" si="33"/>
        <v>0.92800000000000005</v>
      </c>
      <c r="H927" s="222" t="s">
        <v>1241</v>
      </c>
      <c r="J927" s="125"/>
      <c r="N927" s="162"/>
    </row>
    <row r="928" spans="1:14" ht="48" customHeight="1" x14ac:dyDescent="0.25">
      <c r="A928" s="948"/>
      <c r="B928" s="295" t="s">
        <v>1170</v>
      </c>
      <c r="C928" s="332" t="s">
        <v>176</v>
      </c>
      <c r="D928" s="332">
        <v>20</v>
      </c>
      <c r="E928" s="223">
        <v>0.3</v>
      </c>
      <c r="F928" s="223">
        <v>0.02</v>
      </c>
      <c r="G928" s="333">
        <f t="shared" si="33"/>
        <v>6.6666666666666666E-2</v>
      </c>
      <c r="H928" s="222" t="s">
        <v>1242</v>
      </c>
      <c r="J928" s="125"/>
      <c r="N928" s="162"/>
    </row>
    <row r="929" spans="1:14" ht="48" customHeight="1" x14ac:dyDescent="0.25">
      <c r="A929" s="948"/>
      <c r="B929" s="295" t="s">
        <v>1172</v>
      </c>
      <c r="C929" s="332" t="s">
        <v>176</v>
      </c>
      <c r="D929" s="332">
        <v>20</v>
      </c>
      <c r="E929" s="223">
        <v>33</v>
      </c>
      <c r="F929" s="223">
        <v>3.96</v>
      </c>
      <c r="G929" s="333">
        <f t="shared" si="33"/>
        <v>0.12</v>
      </c>
      <c r="H929" s="222" t="s">
        <v>1243</v>
      </c>
      <c r="J929" s="125"/>
      <c r="N929" s="162"/>
    </row>
    <row r="930" spans="1:14" ht="48" customHeight="1" x14ac:dyDescent="0.25">
      <c r="A930" s="953"/>
      <c r="B930" s="295" t="s">
        <v>1174</v>
      </c>
      <c r="C930" s="332" t="s">
        <v>176</v>
      </c>
      <c r="D930" s="332">
        <v>20</v>
      </c>
      <c r="E930" s="223">
        <v>0.1</v>
      </c>
      <c r="F930" s="223">
        <v>0.02</v>
      </c>
      <c r="G930" s="224">
        <f t="shared" si="33"/>
        <v>0.19999999999999998</v>
      </c>
      <c r="H930" s="222" t="s">
        <v>1239</v>
      </c>
      <c r="J930" s="125"/>
      <c r="N930" s="162"/>
    </row>
    <row r="931" spans="1:14" ht="117" customHeight="1" x14ac:dyDescent="0.25">
      <c r="A931" s="952" t="s">
        <v>941</v>
      </c>
      <c r="B931" s="295" t="s">
        <v>1165</v>
      </c>
      <c r="C931" s="332" t="s">
        <v>176</v>
      </c>
      <c r="D931" s="332">
        <v>20</v>
      </c>
      <c r="E931" s="223">
        <v>250</v>
      </c>
      <c r="F931" s="223">
        <v>48</v>
      </c>
      <c r="G931" s="333">
        <f t="shared" si="33"/>
        <v>0.192</v>
      </c>
      <c r="H931" s="222" t="s">
        <v>1244</v>
      </c>
      <c r="J931" s="125"/>
      <c r="N931" s="162"/>
    </row>
    <row r="932" spans="1:14" ht="117" customHeight="1" x14ac:dyDescent="0.25">
      <c r="A932" s="948"/>
      <c r="B932" s="295" t="s">
        <v>1167</v>
      </c>
      <c r="C932" s="332" t="s">
        <v>1168</v>
      </c>
      <c r="D932" s="332">
        <v>20</v>
      </c>
      <c r="E932" s="223">
        <v>0.5</v>
      </c>
      <c r="F932" s="223">
        <v>9.5600000000000004E-2</v>
      </c>
      <c r="G932" s="333">
        <f t="shared" si="33"/>
        <v>0.19120000000000001</v>
      </c>
      <c r="H932" s="222" t="s">
        <v>1245</v>
      </c>
      <c r="J932" s="125"/>
      <c r="N932" s="162"/>
    </row>
    <row r="933" spans="1:14" ht="117" customHeight="1" x14ac:dyDescent="0.25">
      <c r="A933" s="948"/>
      <c r="B933" s="295" t="s">
        <v>1170</v>
      </c>
      <c r="C933" s="332" t="s">
        <v>176</v>
      </c>
      <c r="D933" s="332">
        <v>20</v>
      </c>
      <c r="E933" s="223">
        <v>0.3</v>
      </c>
      <c r="F933" s="223">
        <v>0.04</v>
      </c>
      <c r="G933" s="333">
        <f t="shared" si="33"/>
        <v>0.13333333333333333</v>
      </c>
      <c r="H933" s="222" t="s">
        <v>1246</v>
      </c>
      <c r="J933" s="125"/>
      <c r="N933" s="162"/>
    </row>
    <row r="934" spans="1:14" ht="117" customHeight="1" x14ac:dyDescent="0.25">
      <c r="A934" s="948"/>
      <c r="B934" s="295" t="s">
        <v>1172</v>
      </c>
      <c r="C934" s="332" t="s">
        <v>176</v>
      </c>
      <c r="D934" s="332">
        <v>20</v>
      </c>
      <c r="E934" s="223">
        <v>33</v>
      </c>
      <c r="F934" s="223">
        <v>6.93</v>
      </c>
      <c r="G934" s="333">
        <f t="shared" si="33"/>
        <v>0.21</v>
      </c>
      <c r="H934" s="222" t="s">
        <v>1247</v>
      </c>
      <c r="J934" s="125"/>
      <c r="N934" s="162"/>
    </row>
    <row r="935" spans="1:14" ht="117" customHeight="1" x14ac:dyDescent="0.25">
      <c r="A935" s="953"/>
      <c r="B935" s="295" t="s">
        <v>1174</v>
      </c>
      <c r="C935" s="332" t="s">
        <v>176</v>
      </c>
      <c r="D935" s="332">
        <v>20</v>
      </c>
      <c r="E935" s="223">
        <v>0.1</v>
      </c>
      <c r="F935" s="223">
        <v>3.2000000000000001E-2</v>
      </c>
      <c r="G935" s="224">
        <f t="shared" si="33"/>
        <v>0.32</v>
      </c>
      <c r="H935" s="222" t="s">
        <v>1248</v>
      </c>
      <c r="J935" s="125"/>
      <c r="N935" s="162"/>
    </row>
    <row r="936" spans="1:14" ht="117" customHeight="1" x14ac:dyDescent="0.25">
      <c r="A936" s="952" t="s">
        <v>942</v>
      </c>
      <c r="B936" s="295" t="s">
        <v>1165</v>
      </c>
      <c r="C936" s="332" t="s">
        <v>176</v>
      </c>
      <c r="D936" s="332">
        <v>20</v>
      </c>
      <c r="E936" s="223">
        <v>250</v>
      </c>
      <c r="F936" s="223">
        <v>72</v>
      </c>
      <c r="G936" s="333">
        <f t="shared" si="33"/>
        <v>0.28799999999999998</v>
      </c>
      <c r="H936" s="222" t="s">
        <v>1249</v>
      </c>
      <c r="J936" s="125"/>
      <c r="N936" s="162"/>
    </row>
    <row r="937" spans="1:14" ht="117" customHeight="1" x14ac:dyDescent="0.25">
      <c r="A937" s="948"/>
      <c r="B937" s="295" t="s">
        <v>1167</v>
      </c>
      <c r="C937" s="332" t="s">
        <v>1168</v>
      </c>
      <c r="D937" s="332">
        <v>20</v>
      </c>
      <c r="E937" s="223">
        <v>0.5</v>
      </c>
      <c r="F937" s="223">
        <v>0.1404</v>
      </c>
      <c r="G937" s="333">
        <f t="shared" si="33"/>
        <v>0.28079999999999999</v>
      </c>
      <c r="H937" s="222" t="s">
        <v>1250</v>
      </c>
      <c r="J937" s="125"/>
      <c r="N937" s="162"/>
    </row>
    <row r="938" spans="1:14" ht="117" customHeight="1" x14ac:dyDescent="0.25">
      <c r="A938" s="948"/>
      <c r="B938" s="295" t="s">
        <v>1170</v>
      </c>
      <c r="C938" s="332" t="s">
        <v>176</v>
      </c>
      <c r="D938" s="332">
        <v>20</v>
      </c>
      <c r="E938" s="223">
        <v>0.3</v>
      </c>
      <c r="F938" s="223">
        <v>0.08</v>
      </c>
      <c r="G938" s="333">
        <f t="shared" si="33"/>
        <v>0.26666666666666666</v>
      </c>
      <c r="H938" s="222" t="s">
        <v>1251</v>
      </c>
      <c r="J938" s="125"/>
      <c r="N938" s="162"/>
    </row>
    <row r="939" spans="1:14" ht="117" customHeight="1" x14ac:dyDescent="0.25">
      <c r="A939" s="948"/>
      <c r="B939" s="295" t="s">
        <v>1172</v>
      </c>
      <c r="C939" s="332" t="s">
        <v>176</v>
      </c>
      <c r="D939" s="332">
        <v>20</v>
      </c>
      <c r="E939" s="223">
        <v>33</v>
      </c>
      <c r="F939" s="223">
        <v>9.9</v>
      </c>
      <c r="G939" s="333">
        <f t="shared" si="33"/>
        <v>0.3</v>
      </c>
      <c r="H939" s="222" t="s">
        <v>1252</v>
      </c>
      <c r="J939" s="125"/>
      <c r="N939" s="162"/>
    </row>
    <row r="940" spans="1:14" ht="117" customHeight="1" x14ac:dyDescent="0.25">
      <c r="A940" s="953"/>
      <c r="B940" s="295" t="s">
        <v>1174</v>
      </c>
      <c r="C940" s="332" t="s">
        <v>176</v>
      </c>
      <c r="D940" s="332">
        <v>20</v>
      </c>
      <c r="E940" s="223">
        <v>0.1</v>
      </c>
      <c r="F940" s="223">
        <v>4.4999999999999998E-2</v>
      </c>
      <c r="G940" s="224">
        <f t="shared" si="33"/>
        <v>0.44999999999999996</v>
      </c>
      <c r="H940" s="222" t="s">
        <v>1248</v>
      </c>
      <c r="J940" s="125"/>
      <c r="N940" s="162"/>
    </row>
    <row r="941" spans="1:14" ht="117" customHeight="1" x14ac:dyDescent="0.25">
      <c r="A941" s="952" t="s">
        <v>943</v>
      </c>
      <c r="B941" s="295" t="s">
        <v>1165</v>
      </c>
      <c r="C941" s="332" t="s">
        <v>176</v>
      </c>
      <c r="D941" s="332">
        <v>20</v>
      </c>
      <c r="E941" s="223">
        <v>250</v>
      </c>
      <c r="F941" s="223">
        <v>96</v>
      </c>
      <c r="G941" s="333">
        <f t="shared" si="33"/>
        <v>0.38400000000000001</v>
      </c>
      <c r="H941" s="222" t="s">
        <v>1253</v>
      </c>
      <c r="J941" s="125"/>
      <c r="N941" s="162"/>
    </row>
    <row r="942" spans="1:14" ht="117" customHeight="1" x14ac:dyDescent="0.25">
      <c r="A942" s="948"/>
      <c r="B942" s="295" t="s">
        <v>1167</v>
      </c>
      <c r="C942" s="332" t="s">
        <v>1168</v>
      </c>
      <c r="D942" s="332">
        <v>20</v>
      </c>
      <c r="E942" s="223">
        <v>0.5</v>
      </c>
      <c r="F942" s="223">
        <v>0.18609999999999999</v>
      </c>
      <c r="G942" s="333">
        <f t="shared" si="33"/>
        <v>0.37219999999999998</v>
      </c>
      <c r="H942" s="222" t="s">
        <v>1254</v>
      </c>
      <c r="J942" s="125"/>
      <c r="N942" s="162"/>
    </row>
    <row r="943" spans="1:14" ht="117" customHeight="1" x14ac:dyDescent="0.25">
      <c r="A943" s="948"/>
      <c r="B943" s="295" t="s">
        <v>1170</v>
      </c>
      <c r="C943" s="332" t="s">
        <v>176</v>
      </c>
      <c r="D943" s="332">
        <v>20</v>
      </c>
      <c r="E943" s="223">
        <v>0.3</v>
      </c>
      <c r="F943" s="223">
        <v>0.08</v>
      </c>
      <c r="G943" s="333">
        <f t="shared" si="33"/>
        <v>0.26666666666666666</v>
      </c>
      <c r="H943" s="222" t="s">
        <v>1255</v>
      </c>
      <c r="J943" s="125"/>
      <c r="N943" s="162"/>
    </row>
    <row r="944" spans="1:14" ht="117" customHeight="1" x14ac:dyDescent="0.25">
      <c r="A944" s="948"/>
      <c r="B944" s="295" t="s">
        <v>1172</v>
      </c>
      <c r="C944" s="332" t="s">
        <v>176</v>
      </c>
      <c r="D944" s="332">
        <v>20</v>
      </c>
      <c r="E944" s="223">
        <v>33</v>
      </c>
      <c r="F944" s="223">
        <v>12.87</v>
      </c>
      <c r="G944" s="333">
        <f t="shared" si="33"/>
        <v>0.38999999999999996</v>
      </c>
      <c r="H944" s="222" t="s">
        <v>1256</v>
      </c>
      <c r="J944" s="125"/>
      <c r="N944" s="162"/>
    </row>
    <row r="945" spans="1:14" ht="117" customHeight="1" x14ac:dyDescent="0.25">
      <c r="A945" s="953"/>
      <c r="B945" s="295" t="s">
        <v>1174</v>
      </c>
      <c r="C945" s="332" t="s">
        <v>176</v>
      </c>
      <c r="D945" s="332">
        <v>20</v>
      </c>
      <c r="E945" s="223">
        <v>0.1</v>
      </c>
      <c r="F945" s="223">
        <v>5.8000000000000003E-2</v>
      </c>
      <c r="G945" s="224">
        <f t="shared" si="33"/>
        <v>0.57999999999999996</v>
      </c>
      <c r="H945" s="222" t="s">
        <v>1257</v>
      </c>
      <c r="J945" s="125"/>
      <c r="N945" s="162"/>
    </row>
    <row r="946" spans="1:14" ht="117" customHeight="1" x14ac:dyDescent="0.25">
      <c r="A946" s="952" t="s">
        <v>944</v>
      </c>
      <c r="B946" s="295" t="s">
        <v>1165</v>
      </c>
      <c r="C946" s="332" t="s">
        <v>176</v>
      </c>
      <c r="D946" s="332">
        <v>20</v>
      </c>
      <c r="E946" s="223">
        <v>250</v>
      </c>
      <c r="F946" s="223">
        <v>120</v>
      </c>
      <c r="G946" s="333">
        <f t="shared" si="33"/>
        <v>0.48</v>
      </c>
      <c r="H946" s="222" t="s">
        <v>1258</v>
      </c>
      <c r="J946" s="125"/>
      <c r="N946" s="162"/>
    </row>
    <row r="947" spans="1:14" ht="117" customHeight="1" x14ac:dyDescent="0.25">
      <c r="A947" s="948"/>
      <c r="B947" s="295" t="s">
        <v>1167</v>
      </c>
      <c r="C947" s="332" t="s">
        <v>1168</v>
      </c>
      <c r="D947" s="332">
        <v>20</v>
      </c>
      <c r="E947" s="223">
        <v>0.5</v>
      </c>
      <c r="F947" s="223">
        <v>0.23119999999999999</v>
      </c>
      <c r="G947" s="333">
        <f t="shared" si="33"/>
        <v>0.46239999999999998</v>
      </c>
      <c r="H947" s="222" t="s">
        <v>1259</v>
      </c>
      <c r="J947" s="125"/>
      <c r="N947" s="162"/>
    </row>
    <row r="948" spans="1:14" ht="117" customHeight="1" x14ac:dyDescent="0.25">
      <c r="A948" s="948"/>
      <c r="B948" s="295" t="s">
        <v>1170</v>
      </c>
      <c r="C948" s="332" t="s">
        <v>176</v>
      </c>
      <c r="D948" s="332">
        <v>20</v>
      </c>
      <c r="E948" s="223">
        <v>0.3</v>
      </c>
      <c r="F948" s="223">
        <v>0.18</v>
      </c>
      <c r="G948" s="333">
        <f t="shared" si="33"/>
        <v>0.6</v>
      </c>
      <c r="H948" s="222" t="s">
        <v>1260</v>
      </c>
      <c r="J948" s="125"/>
      <c r="N948" s="162"/>
    </row>
    <row r="949" spans="1:14" ht="117" customHeight="1" x14ac:dyDescent="0.25">
      <c r="A949" s="948"/>
      <c r="B949" s="295" t="s">
        <v>1172</v>
      </c>
      <c r="C949" s="332" t="s">
        <v>176</v>
      </c>
      <c r="D949" s="332">
        <v>20</v>
      </c>
      <c r="E949" s="223">
        <v>33</v>
      </c>
      <c r="F949" s="223">
        <v>15.84</v>
      </c>
      <c r="G949" s="333">
        <f t="shared" si="33"/>
        <v>0.48</v>
      </c>
      <c r="H949" s="222" t="s">
        <v>1261</v>
      </c>
      <c r="J949" s="125"/>
      <c r="N949" s="162"/>
    </row>
    <row r="950" spans="1:14" ht="117" customHeight="1" x14ac:dyDescent="0.25">
      <c r="A950" s="953"/>
      <c r="B950" s="295" t="s">
        <v>1174</v>
      </c>
      <c r="C950" s="332" t="s">
        <v>176</v>
      </c>
      <c r="D950" s="332">
        <v>20</v>
      </c>
      <c r="E950" s="223">
        <v>0.1</v>
      </c>
      <c r="F950" s="223">
        <v>7.0999999999999994E-2</v>
      </c>
      <c r="G950" s="224">
        <f t="shared" si="33"/>
        <v>0.70999999999999985</v>
      </c>
      <c r="H950" s="222" t="s">
        <v>1262</v>
      </c>
      <c r="J950" s="125"/>
      <c r="N950" s="162"/>
    </row>
    <row r="951" spans="1:14" ht="117" customHeight="1" x14ac:dyDescent="0.25">
      <c r="A951" s="952" t="s">
        <v>931</v>
      </c>
      <c r="B951" s="295" t="s">
        <v>1165</v>
      </c>
      <c r="C951" s="332" t="s">
        <v>176</v>
      </c>
      <c r="D951" s="332">
        <v>20</v>
      </c>
      <c r="E951" s="223">
        <v>250</v>
      </c>
      <c r="F951" s="223">
        <v>144</v>
      </c>
      <c r="G951" s="333">
        <f t="shared" si="33"/>
        <v>0.57599999999999996</v>
      </c>
      <c r="H951" s="222" t="s">
        <v>1263</v>
      </c>
      <c r="J951" s="125"/>
      <c r="N951" s="162"/>
    </row>
    <row r="952" spans="1:14" ht="117" customHeight="1" x14ac:dyDescent="0.25">
      <c r="A952" s="948"/>
      <c r="B952" s="295" t="s">
        <v>1167</v>
      </c>
      <c r="C952" s="332" t="s">
        <v>1168</v>
      </c>
      <c r="D952" s="332">
        <v>20</v>
      </c>
      <c r="E952" s="223">
        <v>0.5</v>
      </c>
      <c r="F952" s="223">
        <v>0.2767</v>
      </c>
      <c r="G952" s="333">
        <f t="shared" si="33"/>
        <v>0.5534</v>
      </c>
      <c r="H952" s="222" t="s">
        <v>1264</v>
      </c>
      <c r="J952" s="125"/>
      <c r="N952" s="162"/>
    </row>
    <row r="953" spans="1:14" ht="117" customHeight="1" x14ac:dyDescent="0.25">
      <c r="A953" s="948"/>
      <c r="B953" s="295" t="s">
        <v>1170</v>
      </c>
      <c r="C953" s="332" t="s">
        <v>176</v>
      </c>
      <c r="D953" s="332">
        <v>20</v>
      </c>
      <c r="E953" s="223">
        <v>0.3</v>
      </c>
      <c r="F953" s="223">
        <v>0.2</v>
      </c>
      <c r="G953" s="333">
        <f t="shared" si="33"/>
        <v>0.66666666666666674</v>
      </c>
      <c r="H953" s="222" t="s">
        <v>1265</v>
      </c>
      <c r="J953" s="125"/>
      <c r="N953" s="162"/>
    </row>
    <row r="954" spans="1:14" ht="117" customHeight="1" x14ac:dyDescent="0.25">
      <c r="A954" s="948"/>
      <c r="B954" s="295" t="s">
        <v>1172</v>
      </c>
      <c r="C954" s="332" t="s">
        <v>176</v>
      </c>
      <c r="D954" s="332">
        <v>20</v>
      </c>
      <c r="E954" s="223">
        <v>33</v>
      </c>
      <c r="F954" s="223">
        <v>18.809999999999999</v>
      </c>
      <c r="G954" s="333">
        <f t="shared" si="33"/>
        <v>0.56999999999999995</v>
      </c>
      <c r="H954" s="222" t="s">
        <v>1266</v>
      </c>
      <c r="J954" s="125"/>
      <c r="N954" s="162"/>
    </row>
    <row r="955" spans="1:14" ht="117" customHeight="1" x14ac:dyDescent="0.25">
      <c r="A955" s="953"/>
      <c r="B955" s="295" t="s">
        <v>1174</v>
      </c>
      <c r="C955" s="332" t="s">
        <v>176</v>
      </c>
      <c r="D955" s="332">
        <v>20</v>
      </c>
      <c r="E955" s="223">
        <v>0.1</v>
      </c>
      <c r="F955" s="223">
        <v>8.4000000000000005E-2</v>
      </c>
      <c r="G955" s="224">
        <f t="shared" si="33"/>
        <v>0.84</v>
      </c>
      <c r="H955" s="222" t="s">
        <v>1267</v>
      </c>
      <c r="J955" s="125"/>
      <c r="N955" s="162"/>
    </row>
    <row r="956" spans="1:14" ht="15.75" customHeight="1" x14ac:dyDescent="0.25">
      <c r="A956" s="952" t="s">
        <v>933</v>
      </c>
      <c r="B956" s="295" t="s">
        <v>1165</v>
      </c>
      <c r="C956" s="332" t="s">
        <v>176</v>
      </c>
      <c r="D956" s="332">
        <v>20</v>
      </c>
      <c r="E956" s="223">
        <v>250</v>
      </c>
      <c r="F956" s="223">
        <v>192</v>
      </c>
      <c r="G956" s="333">
        <f t="shared" si="33"/>
        <v>0.76800000000000002</v>
      </c>
      <c r="H956" s="222" t="s">
        <v>1268</v>
      </c>
      <c r="J956" s="125"/>
      <c r="N956" s="162"/>
    </row>
    <row r="957" spans="1:14" ht="15.75" customHeight="1" x14ac:dyDescent="0.25">
      <c r="A957" s="948"/>
      <c r="B957" s="295" t="s">
        <v>1167</v>
      </c>
      <c r="C957" s="332" t="s">
        <v>1168</v>
      </c>
      <c r="D957" s="332">
        <v>20</v>
      </c>
      <c r="E957" s="223">
        <v>0.5</v>
      </c>
      <c r="F957" s="223">
        <v>0.37019999999999997</v>
      </c>
      <c r="G957" s="333">
        <f t="shared" si="33"/>
        <v>0.74039999999999995</v>
      </c>
      <c r="H957" s="222" t="s">
        <v>1269</v>
      </c>
      <c r="J957" s="125"/>
      <c r="N957" s="162"/>
    </row>
    <row r="958" spans="1:14" ht="15.75" customHeight="1" x14ac:dyDescent="0.25">
      <c r="A958" s="948"/>
      <c r="B958" s="295" t="s">
        <v>1170</v>
      </c>
      <c r="C958" s="332" t="s">
        <v>176</v>
      </c>
      <c r="D958" s="332">
        <v>20</v>
      </c>
      <c r="E958" s="223">
        <v>0.3</v>
      </c>
      <c r="F958" s="223">
        <v>0.35</v>
      </c>
      <c r="G958" s="333">
        <f t="shared" si="33"/>
        <v>1.1666666666666667</v>
      </c>
      <c r="H958" s="222" t="s">
        <v>1270</v>
      </c>
      <c r="J958" s="125"/>
      <c r="N958" s="162"/>
    </row>
    <row r="959" spans="1:14" ht="15.75" customHeight="1" x14ac:dyDescent="0.25">
      <c r="A959" s="948"/>
      <c r="B959" s="295" t="s">
        <v>1172</v>
      </c>
      <c r="C959" s="332" t="s">
        <v>176</v>
      </c>
      <c r="D959" s="332">
        <v>20</v>
      </c>
      <c r="E959" s="223">
        <v>33</v>
      </c>
      <c r="F959" s="223">
        <v>25.41</v>
      </c>
      <c r="G959" s="333">
        <f t="shared" si="33"/>
        <v>0.77</v>
      </c>
      <c r="H959" s="222" t="s">
        <v>1271</v>
      </c>
      <c r="J959" s="125"/>
      <c r="N959" s="162"/>
    </row>
    <row r="960" spans="1:14" ht="15.75" customHeight="1" x14ac:dyDescent="0.25">
      <c r="A960" s="949"/>
      <c r="B960" s="295" t="s">
        <v>1174</v>
      </c>
      <c r="C960" s="332" t="s">
        <v>176</v>
      </c>
      <c r="D960" s="332">
        <v>20</v>
      </c>
      <c r="E960" s="223">
        <v>0.15</v>
      </c>
      <c r="F960" s="223">
        <v>0.112</v>
      </c>
      <c r="G960" s="224">
        <f t="shared" si="33"/>
        <v>0.7466666666666667</v>
      </c>
      <c r="H960" s="222" t="s">
        <v>1272</v>
      </c>
      <c r="J960" s="125"/>
      <c r="N960" s="162"/>
    </row>
    <row r="961" spans="1:14" ht="15.75" customHeight="1" x14ac:dyDescent="0.25">
      <c r="A961" s="952" t="s">
        <v>934</v>
      </c>
      <c r="B961" s="295" t="s">
        <v>1165</v>
      </c>
      <c r="C961" s="332" t="s">
        <v>176</v>
      </c>
      <c r="D961" s="332">
        <v>20</v>
      </c>
      <c r="E961" s="223">
        <v>250</v>
      </c>
      <c r="F961" s="223">
        <v>216</v>
      </c>
      <c r="G961" s="333">
        <f t="shared" si="33"/>
        <v>0.86399999999999999</v>
      </c>
      <c r="H961" s="222" t="s">
        <v>1273</v>
      </c>
      <c r="J961" s="125"/>
      <c r="N961" s="162"/>
    </row>
    <row r="962" spans="1:14" ht="15.75" customHeight="1" x14ac:dyDescent="0.25">
      <c r="A962" s="948"/>
      <c r="B962" s="295" t="s">
        <v>1167</v>
      </c>
      <c r="C962" s="332" t="s">
        <v>1168</v>
      </c>
      <c r="D962" s="332">
        <v>20</v>
      </c>
      <c r="E962" s="223">
        <v>0.5</v>
      </c>
      <c r="F962" s="223">
        <v>0.41520000000000001</v>
      </c>
      <c r="G962" s="333">
        <f t="shared" si="33"/>
        <v>0.83040000000000003</v>
      </c>
      <c r="H962" s="222" t="s">
        <v>1274</v>
      </c>
      <c r="J962" s="125"/>
      <c r="N962" s="162"/>
    </row>
    <row r="963" spans="1:14" ht="15.75" customHeight="1" x14ac:dyDescent="0.25">
      <c r="A963" s="948"/>
      <c r="B963" s="295" t="s">
        <v>1170</v>
      </c>
      <c r="C963" s="332" t="s">
        <v>176</v>
      </c>
      <c r="D963" s="332">
        <v>20</v>
      </c>
      <c r="E963" s="223">
        <v>0.3</v>
      </c>
      <c r="F963" s="223">
        <v>0.4</v>
      </c>
      <c r="G963" s="333">
        <f t="shared" si="33"/>
        <v>1.3333333333333335</v>
      </c>
      <c r="H963" s="222" t="s">
        <v>1275</v>
      </c>
      <c r="J963" s="125"/>
      <c r="N963" s="162"/>
    </row>
    <row r="964" spans="1:14" ht="15.75" customHeight="1" x14ac:dyDescent="0.25">
      <c r="A964" s="948"/>
      <c r="B964" s="295" t="s">
        <v>1172</v>
      </c>
      <c r="C964" s="332" t="s">
        <v>176</v>
      </c>
      <c r="D964" s="332">
        <v>20</v>
      </c>
      <c r="E964" s="223">
        <v>33</v>
      </c>
      <c r="F964" s="223">
        <v>28.71</v>
      </c>
      <c r="G964" s="333">
        <f t="shared" si="33"/>
        <v>0.87</v>
      </c>
      <c r="H964" s="222" t="s">
        <v>1276</v>
      </c>
      <c r="J964" s="125"/>
      <c r="N964" s="162"/>
    </row>
    <row r="965" spans="1:14" ht="15.75" customHeight="1" x14ac:dyDescent="0.25">
      <c r="A965" s="949"/>
      <c r="B965" s="295" t="s">
        <v>1174</v>
      </c>
      <c r="C965" s="332" t="s">
        <v>176</v>
      </c>
      <c r="D965" s="332">
        <v>20</v>
      </c>
      <c r="E965" s="223">
        <v>0.15</v>
      </c>
      <c r="F965" s="223">
        <v>0.13</v>
      </c>
      <c r="G965" s="224">
        <f t="shared" si="33"/>
        <v>0.8666666666666667</v>
      </c>
      <c r="H965" s="222" t="s">
        <v>1272</v>
      </c>
      <c r="J965" s="125"/>
      <c r="N965" s="162"/>
    </row>
    <row r="966" spans="1:14" ht="15.75" customHeight="1" x14ac:dyDescent="0.25">
      <c r="A966" s="952" t="s">
        <v>936</v>
      </c>
      <c r="B966" s="295" t="s">
        <v>1165</v>
      </c>
      <c r="C966" s="332" t="s">
        <v>176</v>
      </c>
      <c r="D966" s="332">
        <v>20</v>
      </c>
      <c r="E966" s="223">
        <v>250</v>
      </c>
      <c r="F966" s="223">
        <v>239</v>
      </c>
      <c r="G966" s="333">
        <f t="shared" si="33"/>
        <v>0.95599999999999996</v>
      </c>
      <c r="H966" s="222" t="s">
        <v>1277</v>
      </c>
      <c r="J966" s="125"/>
      <c r="N966" s="162"/>
    </row>
    <row r="967" spans="1:14" ht="15.75" customHeight="1" x14ac:dyDescent="0.25">
      <c r="A967" s="948"/>
      <c r="B967" s="295" t="s">
        <v>1167</v>
      </c>
      <c r="C967" s="332" t="s">
        <v>1168</v>
      </c>
      <c r="D967" s="332">
        <v>20</v>
      </c>
      <c r="E967" s="223">
        <v>0.5</v>
      </c>
      <c r="F967" s="341">
        <v>0.4602</v>
      </c>
      <c r="G967" s="333">
        <f t="shared" si="33"/>
        <v>0.9204</v>
      </c>
      <c r="H967" s="222" t="s">
        <v>1278</v>
      </c>
      <c r="J967" s="125"/>
      <c r="N967" s="162"/>
    </row>
    <row r="968" spans="1:14" ht="15.75" customHeight="1" x14ac:dyDescent="0.25">
      <c r="A968" s="948"/>
      <c r="B968" s="295" t="s">
        <v>1170</v>
      </c>
      <c r="C968" s="332" t="s">
        <v>176</v>
      </c>
      <c r="D968" s="332">
        <v>20</v>
      </c>
      <c r="E968" s="223">
        <v>0.3</v>
      </c>
      <c r="F968" s="223">
        <v>0.28999999999999998</v>
      </c>
      <c r="G968" s="333">
        <f t="shared" si="33"/>
        <v>0.96666666666666667</v>
      </c>
      <c r="H968" s="222" t="s">
        <v>1279</v>
      </c>
      <c r="J968" s="125"/>
      <c r="N968" s="162"/>
    </row>
    <row r="969" spans="1:14" ht="15.75" customHeight="1" x14ac:dyDescent="0.25">
      <c r="A969" s="948"/>
      <c r="B969" s="295" t="s">
        <v>1172</v>
      </c>
      <c r="C969" s="332" t="s">
        <v>176</v>
      </c>
      <c r="D969" s="332">
        <v>20</v>
      </c>
      <c r="E969" s="223">
        <v>33</v>
      </c>
      <c r="F969" s="223">
        <v>32.01</v>
      </c>
      <c r="G969" s="333">
        <f t="shared" si="33"/>
        <v>0.97</v>
      </c>
      <c r="H969" s="222" t="s">
        <v>1280</v>
      </c>
      <c r="J969" s="125"/>
      <c r="N969" s="162"/>
    </row>
    <row r="970" spans="1:14" ht="15.75" customHeight="1" x14ac:dyDescent="0.25">
      <c r="A970" s="949"/>
      <c r="B970" s="295" t="s">
        <v>1174</v>
      </c>
      <c r="C970" s="332" t="s">
        <v>176</v>
      </c>
      <c r="D970" s="332">
        <v>20</v>
      </c>
      <c r="E970" s="223">
        <v>0.15</v>
      </c>
      <c r="F970" s="223">
        <v>0.14000000000000001</v>
      </c>
      <c r="G970" s="224">
        <f t="shared" si="33"/>
        <v>0.93333333333333346</v>
      </c>
      <c r="H970" s="222" t="s">
        <v>1281</v>
      </c>
      <c r="J970" s="125"/>
      <c r="N970" s="162"/>
    </row>
    <row r="971" spans="1:14" ht="15.75" customHeight="1" x14ac:dyDescent="0.25">
      <c r="A971" s="952" t="s">
        <v>937</v>
      </c>
      <c r="B971" s="295" t="s">
        <v>1165</v>
      </c>
      <c r="C971" s="332" t="s">
        <v>176</v>
      </c>
      <c r="D971" s="332">
        <v>20</v>
      </c>
      <c r="E971" s="223">
        <v>250</v>
      </c>
      <c r="F971" s="223">
        <v>259</v>
      </c>
      <c r="G971" s="333">
        <f t="shared" si="33"/>
        <v>1.036</v>
      </c>
      <c r="H971" s="222" t="s">
        <v>1282</v>
      </c>
      <c r="J971" s="125"/>
      <c r="N971" s="162"/>
    </row>
    <row r="972" spans="1:14" ht="15.75" customHeight="1" x14ac:dyDescent="0.25">
      <c r="A972" s="948"/>
      <c r="B972" s="295" t="s">
        <v>1167</v>
      </c>
      <c r="C972" s="332" t="s">
        <v>1168</v>
      </c>
      <c r="D972" s="332">
        <v>20</v>
      </c>
      <c r="E972" s="223">
        <v>0.5</v>
      </c>
      <c r="F972" s="341">
        <v>0.50619999999999998</v>
      </c>
      <c r="G972" s="333">
        <f t="shared" si="33"/>
        <v>1.0124</v>
      </c>
      <c r="H972" s="222" t="s">
        <v>1283</v>
      </c>
      <c r="J972" s="125"/>
      <c r="N972" s="162"/>
    </row>
    <row r="973" spans="1:14" ht="15.75" customHeight="1" x14ac:dyDescent="0.25">
      <c r="A973" s="948"/>
      <c r="B973" s="295" t="s">
        <v>1170</v>
      </c>
      <c r="C973" s="332" t="s">
        <v>176</v>
      </c>
      <c r="D973" s="332">
        <v>20</v>
      </c>
      <c r="E973" s="223">
        <v>0.3</v>
      </c>
      <c r="F973" s="223">
        <v>0.3</v>
      </c>
      <c r="G973" s="333">
        <f t="shared" si="33"/>
        <v>1</v>
      </c>
      <c r="H973" s="222" t="s">
        <v>1284</v>
      </c>
      <c r="J973" s="125"/>
      <c r="N973" s="162"/>
    </row>
    <row r="974" spans="1:14" ht="15.75" customHeight="1" x14ac:dyDescent="0.25">
      <c r="A974" s="948"/>
      <c r="B974" s="295" t="s">
        <v>1172</v>
      </c>
      <c r="C974" s="332" t="s">
        <v>176</v>
      </c>
      <c r="D974" s="332">
        <v>20</v>
      </c>
      <c r="E974" s="223">
        <v>33</v>
      </c>
      <c r="F974" s="223">
        <v>33</v>
      </c>
      <c r="G974" s="333">
        <f t="shared" si="33"/>
        <v>1</v>
      </c>
      <c r="H974" s="222" t="s">
        <v>1285</v>
      </c>
      <c r="J974" s="125"/>
      <c r="N974" s="162"/>
    </row>
    <row r="975" spans="1:14" ht="15.75" customHeight="1" x14ac:dyDescent="0.25">
      <c r="A975" s="949"/>
      <c r="B975" s="295" t="s">
        <v>1174</v>
      </c>
      <c r="C975" s="332" t="s">
        <v>176</v>
      </c>
      <c r="D975" s="332">
        <v>20</v>
      </c>
      <c r="E975" s="223">
        <v>0.15</v>
      </c>
      <c r="F975" s="223">
        <v>0.15</v>
      </c>
      <c r="G975" s="224">
        <f t="shared" si="33"/>
        <v>1</v>
      </c>
      <c r="H975" s="222" t="s">
        <v>1286</v>
      </c>
      <c r="J975" s="125"/>
      <c r="N975" s="162"/>
    </row>
    <row r="976" spans="1:14" ht="15.75" customHeight="1" x14ac:dyDescent="0.25">
      <c r="B976" s="161"/>
      <c r="C976" s="162"/>
      <c r="D976" s="162"/>
      <c r="J976" s="125"/>
      <c r="N976" s="162"/>
    </row>
    <row r="977" spans="1:14" ht="15.75" customHeight="1" x14ac:dyDescent="0.3">
      <c r="A977" s="956" t="s">
        <v>1287</v>
      </c>
      <c r="B977" s="679"/>
      <c r="C977" s="679"/>
      <c r="D977" s="679"/>
      <c r="E977" s="679"/>
      <c r="F977" s="679"/>
      <c r="G977" s="679"/>
      <c r="H977" s="721"/>
      <c r="J977" s="125"/>
      <c r="N977" s="162"/>
    </row>
    <row r="978" spans="1:14" ht="52.5" customHeight="1" x14ac:dyDescent="0.25">
      <c r="A978" s="163" t="s">
        <v>27</v>
      </c>
      <c r="B978" s="164" t="s">
        <v>1161</v>
      </c>
      <c r="C978" s="325" t="s">
        <v>953</v>
      </c>
      <c r="D978" s="325" t="s">
        <v>1087</v>
      </c>
      <c r="E978" s="325" t="s">
        <v>1288</v>
      </c>
      <c r="F978" s="325" t="s">
        <v>1289</v>
      </c>
      <c r="G978" s="325" t="s">
        <v>1290</v>
      </c>
      <c r="H978" s="165" t="s">
        <v>1147</v>
      </c>
      <c r="J978" s="125"/>
      <c r="N978" s="162"/>
    </row>
    <row r="979" spans="1:14" ht="87" customHeight="1" x14ac:dyDescent="0.25">
      <c r="A979" s="961" t="s">
        <v>939</v>
      </c>
      <c r="B979" s="295" t="s">
        <v>1165</v>
      </c>
      <c r="C979" s="332" t="s">
        <v>176</v>
      </c>
      <c r="D979" s="332">
        <v>20</v>
      </c>
      <c r="E979" s="223">
        <v>330</v>
      </c>
      <c r="F979" s="158">
        <v>5</v>
      </c>
      <c r="G979" s="342">
        <f t="shared" ref="G979:G1038" si="34">F979/E979</f>
        <v>1.5151515151515152E-2</v>
      </c>
      <c r="H979" s="209" t="s">
        <v>1091</v>
      </c>
      <c r="J979" s="125"/>
      <c r="N979" s="162"/>
    </row>
    <row r="980" spans="1:14" ht="87" customHeight="1" x14ac:dyDescent="0.25">
      <c r="A980" s="951"/>
      <c r="B980" s="295" t="s">
        <v>1167</v>
      </c>
      <c r="C980" s="332" t="s">
        <v>1168</v>
      </c>
      <c r="D980" s="332">
        <v>20</v>
      </c>
      <c r="E980" s="223">
        <v>0.6</v>
      </c>
      <c r="F980" s="158">
        <v>0</v>
      </c>
      <c r="G980" s="342">
        <f t="shared" si="34"/>
        <v>0</v>
      </c>
      <c r="H980" s="209" t="s">
        <v>1291</v>
      </c>
      <c r="J980" s="125"/>
      <c r="N980" s="162"/>
    </row>
    <row r="981" spans="1:14" ht="87" customHeight="1" x14ac:dyDescent="0.25">
      <c r="A981" s="951"/>
      <c r="B981" s="295" t="s">
        <v>1170</v>
      </c>
      <c r="C981" s="332" t="s">
        <v>176</v>
      </c>
      <c r="D981" s="332">
        <v>20</v>
      </c>
      <c r="E981" s="223">
        <v>0.3</v>
      </c>
      <c r="F981" s="158">
        <v>0.02</v>
      </c>
      <c r="G981" s="342">
        <f t="shared" si="34"/>
        <v>6.6666666666666666E-2</v>
      </c>
      <c r="H981" s="209" t="s">
        <v>1292</v>
      </c>
      <c r="J981" s="125"/>
      <c r="N981" s="162"/>
    </row>
    <row r="982" spans="1:14" ht="87" customHeight="1" x14ac:dyDescent="0.25">
      <c r="A982" s="951"/>
      <c r="B982" s="295" t="s">
        <v>1172</v>
      </c>
      <c r="C982" s="332" t="s">
        <v>176</v>
      </c>
      <c r="D982" s="332">
        <v>20</v>
      </c>
      <c r="E982" s="223">
        <v>33</v>
      </c>
      <c r="F982" s="158">
        <v>1.65</v>
      </c>
      <c r="G982" s="342">
        <f t="shared" si="34"/>
        <v>4.9999999999999996E-2</v>
      </c>
      <c r="H982" s="209" t="s">
        <v>1293</v>
      </c>
      <c r="J982" s="125"/>
      <c r="N982" s="162"/>
    </row>
    <row r="983" spans="1:14" ht="87" customHeight="1" x14ac:dyDescent="0.25">
      <c r="A983" s="962"/>
      <c r="B983" s="295" t="s">
        <v>1174</v>
      </c>
      <c r="C983" s="332" t="s">
        <v>176</v>
      </c>
      <c r="D983" s="332">
        <v>20</v>
      </c>
      <c r="E983" s="223">
        <v>0.15</v>
      </c>
      <c r="F983" s="223">
        <v>0.01</v>
      </c>
      <c r="G983" s="342">
        <f t="shared" si="34"/>
        <v>6.6666666666666666E-2</v>
      </c>
      <c r="H983" s="209" t="s">
        <v>1294</v>
      </c>
      <c r="J983" s="125"/>
      <c r="N983" s="162"/>
    </row>
    <row r="984" spans="1:14" ht="56.25" customHeight="1" x14ac:dyDescent="0.25">
      <c r="A984" s="952" t="s">
        <v>940</v>
      </c>
      <c r="B984" s="295" t="s">
        <v>1165</v>
      </c>
      <c r="C984" s="332" t="s">
        <v>176</v>
      </c>
      <c r="D984" s="332">
        <v>20</v>
      </c>
      <c r="E984" s="223">
        <v>330</v>
      </c>
      <c r="F984" s="158">
        <v>35</v>
      </c>
      <c r="G984" s="342">
        <f t="shared" si="34"/>
        <v>0.10606060606060606</v>
      </c>
      <c r="H984" s="209" t="s">
        <v>1295</v>
      </c>
      <c r="J984" s="125"/>
      <c r="N984" s="162"/>
    </row>
    <row r="985" spans="1:14" ht="56.25" customHeight="1" x14ac:dyDescent="0.25">
      <c r="A985" s="948"/>
      <c r="B985" s="295" t="s">
        <v>1167</v>
      </c>
      <c r="C985" s="332" t="s">
        <v>1168</v>
      </c>
      <c r="D985" s="332">
        <v>20</v>
      </c>
      <c r="E985" s="223">
        <v>0.6</v>
      </c>
      <c r="F985" s="158">
        <v>0.06</v>
      </c>
      <c r="G985" s="342">
        <f t="shared" si="34"/>
        <v>0.1</v>
      </c>
      <c r="H985" s="209" t="s">
        <v>1296</v>
      </c>
      <c r="J985" s="125"/>
      <c r="N985" s="162"/>
    </row>
    <row r="986" spans="1:14" ht="56.25" customHeight="1" x14ac:dyDescent="0.25">
      <c r="A986" s="948"/>
      <c r="B986" s="295" t="s">
        <v>1170</v>
      </c>
      <c r="C986" s="332" t="s">
        <v>176</v>
      </c>
      <c r="D986" s="332">
        <v>20</v>
      </c>
      <c r="E986" s="223">
        <v>0.3</v>
      </c>
      <c r="F986" s="158">
        <v>0.04</v>
      </c>
      <c r="G986" s="342">
        <f t="shared" si="34"/>
        <v>0.13333333333333333</v>
      </c>
      <c r="H986" s="209" t="s">
        <v>1297</v>
      </c>
      <c r="J986" s="125"/>
      <c r="N986" s="162"/>
    </row>
    <row r="987" spans="1:14" ht="56.25" customHeight="1" x14ac:dyDescent="0.25">
      <c r="A987" s="948"/>
      <c r="B987" s="295" t="s">
        <v>1172</v>
      </c>
      <c r="C987" s="332" t="s">
        <v>176</v>
      </c>
      <c r="D987" s="332">
        <v>20</v>
      </c>
      <c r="E987" s="223">
        <v>33</v>
      </c>
      <c r="F987" s="158">
        <v>4.62</v>
      </c>
      <c r="G987" s="342">
        <f t="shared" si="34"/>
        <v>0.14000000000000001</v>
      </c>
      <c r="H987" s="209" t="s">
        <v>1298</v>
      </c>
      <c r="J987" s="125"/>
      <c r="N987" s="162"/>
    </row>
    <row r="988" spans="1:14" ht="56.25" customHeight="1" x14ac:dyDescent="0.25">
      <c r="A988" s="953"/>
      <c r="B988" s="295" t="s">
        <v>1174</v>
      </c>
      <c r="C988" s="332" t="s">
        <v>176</v>
      </c>
      <c r="D988" s="332">
        <v>20</v>
      </c>
      <c r="E988" s="223">
        <v>0.15</v>
      </c>
      <c r="F988" s="223">
        <v>0.02</v>
      </c>
      <c r="G988" s="342">
        <f t="shared" si="34"/>
        <v>0.13333333333333333</v>
      </c>
      <c r="H988" s="209" t="s">
        <v>1299</v>
      </c>
      <c r="J988" s="125"/>
      <c r="N988" s="162"/>
    </row>
    <row r="989" spans="1:14" ht="56.25" customHeight="1" x14ac:dyDescent="0.25">
      <c r="A989" s="952" t="s">
        <v>941</v>
      </c>
      <c r="B989" s="295" t="s">
        <v>1165</v>
      </c>
      <c r="C989" s="332" t="s">
        <v>176</v>
      </c>
      <c r="D989" s="332">
        <v>20</v>
      </c>
      <c r="E989" s="223">
        <v>330</v>
      </c>
      <c r="F989" s="158">
        <v>61</v>
      </c>
      <c r="G989" s="342">
        <f t="shared" si="34"/>
        <v>0.18484848484848485</v>
      </c>
      <c r="H989" s="209" t="s">
        <v>1300</v>
      </c>
      <c r="J989" s="125"/>
      <c r="N989" s="162"/>
    </row>
    <row r="990" spans="1:14" ht="56.25" customHeight="1" x14ac:dyDescent="0.25">
      <c r="A990" s="948"/>
      <c r="B990" s="295" t="s">
        <v>1167</v>
      </c>
      <c r="C990" s="332" t="s">
        <v>1168</v>
      </c>
      <c r="D990" s="332">
        <v>20</v>
      </c>
      <c r="E990" s="223">
        <v>0.6</v>
      </c>
      <c r="F990" s="158">
        <v>0.125</v>
      </c>
      <c r="G990" s="342">
        <f t="shared" si="34"/>
        <v>0.20833333333333334</v>
      </c>
      <c r="H990" s="209" t="s">
        <v>1301</v>
      </c>
      <c r="J990" s="125"/>
      <c r="N990" s="162"/>
    </row>
    <row r="991" spans="1:14" ht="56.25" customHeight="1" x14ac:dyDescent="0.25">
      <c r="A991" s="948"/>
      <c r="B991" s="295" t="s">
        <v>1170</v>
      </c>
      <c r="C991" s="332" t="s">
        <v>176</v>
      </c>
      <c r="D991" s="332">
        <v>20</v>
      </c>
      <c r="E991" s="223">
        <v>0.3</v>
      </c>
      <c r="F991" s="158">
        <v>7.0000000000000007E-2</v>
      </c>
      <c r="G991" s="342">
        <f t="shared" si="34"/>
        <v>0.23333333333333336</v>
      </c>
      <c r="H991" s="209" t="s">
        <v>1302</v>
      </c>
      <c r="J991" s="125"/>
      <c r="N991" s="162"/>
    </row>
    <row r="992" spans="1:14" ht="56.25" customHeight="1" x14ac:dyDescent="0.25">
      <c r="A992" s="948"/>
      <c r="B992" s="295" t="s">
        <v>1172</v>
      </c>
      <c r="C992" s="332" t="s">
        <v>176</v>
      </c>
      <c r="D992" s="332">
        <v>20</v>
      </c>
      <c r="E992" s="223">
        <v>33</v>
      </c>
      <c r="F992" s="158">
        <v>7.59</v>
      </c>
      <c r="G992" s="342">
        <f t="shared" si="34"/>
        <v>0.22999999999999998</v>
      </c>
      <c r="H992" s="209" t="s">
        <v>1303</v>
      </c>
      <c r="J992" s="125"/>
      <c r="N992" s="162"/>
    </row>
    <row r="993" spans="1:14" ht="56.25" customHeight="1" x14ac:dyDescent="0.25">
      <c r="A993" s="953"/>
      <c r="B993" s="295" t="s">
        <v>1174</v>
      </c>
      <c r="C993" s="332" t="s">
        <v>176</v>
      </c>
      <c r="D993" s="332">
        <v>20</v>
      </c>
      <c r="E993" s="223">
        <v>0.15</v>
      </c>
      <c r="F993" s="223">
        <v>3.2000000000000001E-2</v>
      </c>
      <c r="G993" s="342">
        <f t="shared" si="34"/>
        <v>0.21333333333333335</v>
      </c>
      <c r="H993" s="209" t="s">
        <v>1304</v>
      </c>
      <c r="J993" s="125"/>
      <c r="N993" s="162"/>
    </row>
    <row r="994" spans="1:14" ht="56.25" customHeight="1" x14ac:dyDescent="0.25">
      <c r="A994" s="952" t="s">
        <v>942</v>
      </c>
      <c r="B994" s="295" t="s">
        <v>1165</v>
      </c>
      <c r="C994" s="332" t="s">
        <v>176</v>
      </c>
      <c r="D994" s="332">
        <v>20</v>
      </c>
      <c r="E994" s="223">
        <v>330</v>
      </c>
      <c r="F994" s="158">
        <v>96</v>
      </c>
      <c r="G994" s="342">
        <f t="shared" si="34"/>
        <v>0.29090909090909089</v>
      </c>
      <c r="H994" s="209" t="s">
        <v>1305</v>
      </c>
      <c r="J994" s="125"/>
      <c r="N994" s="162"/>
    </row>
    <row r="995" spans="1:14" ht="56.25" customHeight="1" x14ac:dyDescent="0.25">
      <c r="A995" s="948"/>
      <c r="B995" s="295" t="s">
        <v>1167</v>
      </c>
      <c r="C995" s="332" t="s">
        <v>1168</v>
      </c>
      <c r="D995" s="332">
        <v>20</v>
      </c>
      <c r="E995" s="223">
        <v>0.6</v>
      </c>
      <c r="F995" s="158">
        <v>0.185</v>
      </c>
      <c r="G995" s="342">
        <f t="shared" si="34"/>
        <v>0.30833333333333335</v>
      </c>
      <c r="H995" s="209" t="s">
        <v>1306</v>
      </c>
      <c r="J995" s="125"/>
      <c r="N995" s="162"/>
    </row>
    <row r="996" spans="1:14" ht="56.25" customHeight="1" x14ac:dyDescent="0.25">
      <c r="A996" s="948"/>
      <c r="B996" s="295" t="s">
        <v>1170</v>
      </c>
      <c r="C996" s="332" t="s">
        <v>176</v>
      </c>
      <c r="D996" s="332">
        <v>20</v>
      </c>
      <c r="E996" s="223">
        <v>0.3</v>
      </c>
      <c r="F996" s="158">
        <v>0.11</v>
      </c>
      <c r="G996" s="342">
        <f t="shared" si="34"/>
        <v>0.3666666666666667</v>
      </c>
      <c r="H996" s="209" t="s">
        <v>1307</v>
      </c>
      <c r="J996" s="125"/>
      <c r="N996" s="162"/>
    </row>
    <row r="997" spans="1:14" ht="56.25" customHeight="1" x14ac:dyDescent="0.25">
      <c r="A997" s="948"/>
      <c r="B997" s="295" t="s">
        <v>1172</v>
      </c>
      <c r="C997" s="332" t="s">
        <v>176</v>
      </c>
      <c r="D997" s="332">
        <v>20</v>
      </c>
      <c r="E997" s="223">
        <v>33</v>
      </c>
      <c r="F997" s="158">
        <v>10.56</v>
      </c>
      <c r="G997" s="342">
        <f t="shared" si="34"/>
        <v>0.32</v>
      </c>
      <c r="H997" s="209" t="s">
        <v>1308</v>
      </c>
      <c r="J997" s="125"/>
      <c r="N997" s="162"/>
    </row>
    <row r="998" spans="1:14" ht="56.25" customHeight="1" x14ac:dyDescent="0.25">
      <c r="A998" s="953"/>
      <c r="B998" s="295" t="s">
        <v>1174</v>
      </c>
      <c r="C998" s="332" t="s">
        <v>176</v>
      </c>
      <c r="D998" s="332">
        <v>20</v>
      </c>
      <c r="E998" s="223">
        <v>0.15</v>
      </c>
      <c r="F998" s="223">
        <v>4.4999999999999998E-2</v>
      </c>
      <c r="G998" s="342">
        <f t="shared" si="34"/>
        <v>0.3</v>
      </c>
      <c r="H998" s="209" t="s">
        <v>1309</v>
      </c>
      <c r="J998" s="125"/>
      <c r="N998" s="162"/>
    </row>
    <row r="999" spans="1:14" ht="56.25" customHeight="1" x14ac:dyDescent="0.25">
      <c r="A999" s="952" t="s">
        <v>943</v>
      </c>
      <c r="B999" s="295" t="s">
        <v>1165</v>
      </c>
      <c r="C999" s="332" t="s">
        <v>176</v>
      </c>
      <c r="D999" s="332">
        <v>20</v>
      </c>
      <c r="E999" s="223">
        <v>330</v>
      </c>
      <c r="F999" s="158">
        <v>127</v>
      </c>
      <c r="G999" s="342">
        <f t="shared" si="34"/>
        <v>0.38484848484848483</v>
      </c>
      <c r="H999" s="209" t="s">
        <v>1310</v>
      </c>
      <c r="J999" s="125"/>
      <c r="N999" s="162"/>
    </row>
    <row r="1000" spans="1:14" ht="56.25" customHeight="1" x14ac:dyDescent="0.25">
      <c r="A1000" s="948"/>
      <c r="B1000" s="295" t="s">
        <v>1167</v>
      </c>
      <c r="C1000" s="332" t="s">
        <v>1168</v>
      </c>
      <c r="D1000" s="332">
        <v>20</v>
      </c>
      <c r="E1000" s="223">
        <v>0.6</v>
      </c>
      <c r="F1000" s="158">
        <v>0.245</v>
      </c>
      <c r="G1000" s="342">
        <f t="shared" si="34"/>
        <v>0.40833333333333333</v>
      </c>
      <c r="H1000" s="209" t="s">
        <v>1311</v>
      </c>
      <c r="J1000" s="125"/>
      <c r="N1000" s="162"/>
    </row>
    <row r="1001" spans="1:14" ht="56.25" customHeight="1" x14ac:dyDescent="0.25">
      <c r="A1001" s="948"/>
      <c r="B1001" s="295" t="s">
        <v>1170</v>
      </c>
      <c r="C1001" s="332" t="s">
        <v>176</v>
      </c>
      <c r="D1001" s="332">
        <v>20</v>
      </c>
      <c r="E1001" s="223">
        <v>0.3</v>
      </c>
      <c r="F1001" s="158">
        <v>0.15</v>
      </c>
      <c r="G1001" s="342">
        <f t="shared" si="34"/>
        <v>0.5</v>
      </c>
      <c r="H1001" s="209" t="s">
        <v>1312</v>
      </c>
      <c r="J1001" s="125"/>
      <c r="N1001" s="162"/>
    </row>
    <row r="1002" spans="1:14" ht="56.25" customHeight="1" x14ac:dyDescent="0.25">
      <c r="A1002" s="948"/>
      <c r="B1002" s="295" t="s">
        <v>1172</v>
      </c>
      <c r="C1002" s="332" t="s">
        <v>176</v>
      </c>
      <c r="D1002" s="332">
        <v>20</v>
      </c>
      <c r="E1002" s="223">
        <v>33</v>
      </c>
      <c r="F1002" s="158">
        <v>13.53</v>
      </c>
      <c r="G1002" s="342">
        <f t="shared" si="34"/>
        <v>0.41</v>
      </c>
      <c r="H1002" s="209" t="s">
        <v>1313</v>
      </c>
      <c r="J1002" s="125"/>
      <c r="N1002" s="162"/>
    </row>
    <row r="1003" spans="1:14" ht="56.25" customHeight="1" x14ac:dyDescent="0.25">
      <c r="A1003" s="953"/>
      <c r="B1003" s="295" t="s">
        <v>1174</v>
      </c>
      <c r="C1003" s="332" t="s">
        <v>176</v>
      </c>
      <c r="D1003" s="332">
        <v>20</v>
      </c>
      <c r="E1003" s="223">
        <v>0.15</v>
      </c>
      <c r="F1003" s="223">
        <v>4.4999999999999998E-2</v>
      </c>
      <c r="G1003" s="342">
        <f t="shared" si="34"/>
        <v>0.3</v>
      </c>
      <c r="H1003" s="209" t="s">
        <v>1309</v>
      </c>
      <c r="J1003" s="125"/>
      <c r="N1003" s="162"/>
    </row>
    <row r="1004" spans="1:14" ht="56.25" customHeight="1" x14ac:dyDescent="0.25">
      <c r="A1004" s="952" t="s">
        <v>944</v>
      </c>
      <c r="B1004" s="295" t="s">
        <v>1165</v>
      </c>
      <c r="C1004" s="332" t="s">
        <v>176</v>
      </c>
      <c r="D1004" s="332">
        <v>20</v>
      </c>
      <c r="E1004" s="223">
        <v>330</v>
      </c>
      <c r="F1004" s="158">
        <v>158</v>
      </c>
      <c r="G1004" s="342">
        <f t="shared" si="34"/>
        <v>0.47878787878787876</v>
      </c>
      <c r="H1004" s="209" t="s">
        <v>1314</v>
      </c>
      <c r="J1004" s="125"/>
      <c r="N1004" s="162"/>
    </row>
    <row r="1005" spans="1:14" ht="56.25" customHeight="1" x14ac:dyDescent="0.25">
      <c r="A1005" s="948"/>
      <c r="B1005" s="295" t="s">
        <v>1167</v>
      </c>
      <c r="C1005" s="332" t="s">
        <v>1168</v>
      </c>
      <c r="D1005" s="332">
        <v>20</v>
      </c>
      <c r="E1005" s="223">
        <v>0.6</v>
      </c>
      <c r="F1005" s="158">
        <v>0.30649999999999999</v>
      </c>
      <c r="G1005" s="342">
        <f t="shared" si="34"/>
        <v>0.51083333333333336</v>
      </c>
      <c r="H1005" s="209" t="s">
        <v>1315</v>
      </c>
      <c r="J1005" s="125"/>
      <c r="N1005" s="162"/>
    </row>
    <row r="1006" spans="1:14" ht="56.25" customHeight="1" x14ac:dyDescent="0.25">
      <c r="A1006" s="948"/>
      <c r="B1006" s="295" t="s">
        <v>1170</v>
      </c>
      <c r="C1006" s="332" t="s">
        <v>176</v>
      </c>
      <c r="D1006" s="332">
        <v>20</v>
      </c>
      <c r="E1006" s="223">
        <v>0.3</v>
      </c>
      <c r="F1006" s="158">
        <v>0.18</v>
      </c>
      <c r="G1006" s="342">
        <f t="shared" si="34"/>
        <v>0.6</v>
      </c>
      <c r="H1006" s="209" t="s">
        <v>1316</v>
      </c>
      <c r="J1006" s="125"/>
      <c r="N1006" s="162"/>
    </row>
    <row r="1007" spans="1:14" ht="56.25" customHeight="1" x14ac:dyDescent="0.25">
      <c r="A1007" s="948"/>
      <c r="B1007" s="295" t="s">
        <v>1172</v>
      </c>
      <c r="C1007" s="332" t="s">
        <v>176</v>
      </c>
      <c r="D1007" s="332">
        <v>20</v>
      </c>
      <c r="E1007" s="223">
        <v>33</v>
      </c>
      <c r="F1007" s="158">
        <v>16.5</v>
      </c>
      <c r="G1007" s="342">
        <f t="shared" si="34"/>
        <v>0.5</v>
      </c>
      <c r="H1007" s="209" t="s">
        <v>1313</v>
      </c>
      <c r="J1007" s="125"/>
      <c r="N1007" s="162"/>
    </row>
    <row r="1008" spans="1:14" ht="56.25" customHeight="1" x14ac:dyDescent="0.25">
      <c r="A1008" s="953"/>
      <c r="B1008" s="295" t="s">
        <v>1174</v>
      </c>
      <c r="C1008" s="332" t="s">
        <v>176</v>
      </c>
      <c r="D1008" s="332">
        <v>20</v>
      </c>
      <c r="E1008" s="223">
        <v>0.15</v>
      </c>
      <c r="F1008" s="223">
        <v>7.0999999999999994E-2</v>
      </c>
      <c r="G1008" s="342">
        <f t="shared" si="34"/>
        <v>0.47333333333333333</v>
      </c>
      <c r="H1008" s="209" t="s">
        <v>1317</v>
      </c>
      <c r="J1008" s="125"/>
      <c r="N1008" s="162"/>
    </row>
    <row r="1009" spans="1:34" ht="56.25" customHeight="1" x14ac:dyDescent="0.25">
      <c r="A1009" s="967" t="s">
        <v>931</v>
      </c>
      <c r="B1009" s="311" t="s">
        <v>1165</v>
      </c>
      <c r="C1009" s="343" t="s">
        <v>176</v>
      </c>
      <c r="D1009" s="343">
        <v>20</v>
      </c>
      <c r="E1009" s="234">
        <v>330</v>
      </c>
      <c r="F1009" s="157">
        <v>189</v>
      </c>
      <c r="G1009" s="344">
        <f t="shared" si="34"/>
        <v>0.57272727272727275</v>
      </c>
      <c r="H1009" s="244" t="s">
        <v>1318</v>
      </c>
      <c r="I1009" s="1"/>
      <c r="J1009" s="193"/>
      <c r="K1009" s="1"/>
      <c r="L1009" s="1"/>
      <c r="M1009" s="1"/>
      <c r="N1009" s="194"/>
      <c r="O1009" s="1"/>
      <c r="P1009" s="1"/>
      <c r="Q1009" s="1"/>
      <c r="R1009" s="1"/>
      <c r="S1009" s="1"/>
      <c r="T1009" s="1"/>
      <c r="U1009" s="1"/>
      <c r="V1009" s="1"/>
      <c r="W1009" s="1"/>
      <c r="X1009" s="1"/>
      <c r="Y1009" s="1"/>
      <c r="Z1009" s="1"/>
      <c r="AA1009" s="1"/>
      <c r="AB1009" s="1"/>
      <c r="AC1009" s="1"/>
      <c r="AD1009" s="1"/>
      <c r="AE1009" s="1"/>
      <c r="AF1009" s="1"/>
      <c r="AG1009" s="1"/>
      <c r="AH1009" s="1"/>
    </row>
    <row r="1010" spans="1:34" ht="56.25" customHeight="1" x14ac:dyDescent="0.25">
      <c r="A1010" s="948"/>
      <c r="B1010" s="311" t="s">
        <v>1167</v>
      </c>
      <c r="C1010" s="343" t="s">
        <v>1168</v>
      </c>
      <c r="D1010" s="343">
        <v>20</v>
      </c>
      <c r="E1010" s="234">
        <v>0.6</v>
      </c>
      <c r="F1010" s="157">
        <v>0.36399999999999999</v>
      </c>
      <c r="G1010" s="344">
        <f t="shared" si="34"/>
        <v>0.60666666666666669</v>
      </c>
      <c r="H1010" s="244" t="s">
        <v>1319</v>
      </c>
      <c r="I1010" s="1"/>
      <c r="J1010" s="193"/>
      <c r="K1010" s="1"/>
      <c r="L1010" s="1"/>
      <c r="M1010" s="1"/>
      <c r="N1010" s="194"/>
      <c r="O1010" s="1"/>
      <c r="P1010" s="1"/>
      <c r="Q1010" s="1"/>
      <c r="R1010" s="1"/>
      <c r="S1010" s="1"/>
      <c r="T1010" s="1"/>
      <c r="U1010" s="1"/>
      <c r="V1010" s="1"/>
      <c r="W1010" s="1"/>
      <c r="X1010" s="1"/>
      <c r="Y1010" s="1"/>
      <c r="Z1010" s="1"/>
      <c r="AA1010" s="1"/>
      <c r="AB1010" s="1"/>
      <c r="AC1010" s="1"/>
      <c r="AD1010" s="1"/>
      <c r="AE1010" s="1"/>
      <c r="AF1010" s="1"/>
      <c r="AG1010" s="1"/>
      <c r="AH1010" s="1"/>
    </row>
    <row r="1011" spans="1:34" ht="56.25" customHeight="1" x14ac:dyDescent="0.25">
      <c r="A1011" s="948"/>
      <c r="B1011" s="311" t="s">
        <v>1170</v>
      </c>
      <c r="C1011" s="343" t="s">
        <v>176</v>
      </c>
      <c r="D1011" s="343">
        <v>20</v>
      </c>
      <c r="E1011" s="234">
        <v>0.3</v>
      </c>
      <c r="F1011" s="157">
        <v>0.2</v>
      </c>
      <c r="G1011" s="344">
        <f t="shared" si="34"/>
        <v>0.66666666666666674</v>
      </c>
      <c r="H1011" s="244" t="s">
        <v>1320</v>
      </c>
      <c r="I1011" s="1"/>
      <c r="J1011" s="193"/>
      <c r="K1011" s="1"/>
      <c r="L1011" s="1"/>
      <c r="M1011" s="1"/>
      <c r="N1011" s="194"/>
      <c r="O1011" s="1"/>
      <c r="P1011" s="1"/>
      <c r="Q1011" s="1"/>
      <c r="R1011" s="1"/>
      <c r="S1011" s="1"/>
      <c r="T1011" s="1"/>
      <c r="U1011" s="1"/>
      <c r="V1011" s="1"/>
      <c r="W1011" s="1"/>
      <c r="X1011" s="1"/>
      <c r="Y1011" s="1"/>
      <c r="Z1011" s="1"/>
      <c r="AA1011" s="1"/>
      <c r="AB1011" s="1"/>
      <c r="AC1011" s="1"/>
      <c r="AD1011" s="1"/>
      <c r="AE1011" s="1"/>
      <c r="AF1011" s="1"/>
      <c r="AG1011" s="1"/>
      <c r="AH1011" s="1"/>
    </row>
    <row r="1012" spans="1:34" ht="56.25" customHeight="1" x14ac:dyDescent="0.25">
      <c r="A1012" s="948"/>
      <c r="B1012" s="311" t="s">
        <v>1172</v>
      </c>
      <c r="C1012" s="343" t="s">
        <v>176</v>
      </c>
      <c r="D1012" s="343">
        <v>20</v>
      </c>
      <c r="E1012" s="234">
        <v>33</v>
      </c>
      <c r="F1012" s="157">
        <v>19.47</v>
      </c>
      <c r="G1012" s="344">
        <f t="shared" si="34"/>
        <v>0.59</v>
      </c>
      <c r="H1012" s="244" t="s">
        <v>1321</v>
      </c>
      <c r="I1012" s="1"/>
      <c r="J1012" s="193"/>
      <c r="K1012" s="1"/>
      <c r="L1012" s="1"/>
      <c r="M1012" s="1"/>
      <c r="N1012" s="194"/>
      <c r="O1012" s="1"/>
      <c r="P1012" s="1"/>
      <c r="Q1012" s="1"/>
      <c r="R1012" s="1"/>
      <c r="S1012" s="1"/>
      <c r="T1012" s="1"/>
      <c r="U1012" s="1"/>
      <c r="V1012" s="1"/>
      <c r="W1012" s="1"/>
      <c r="X1012" s="1"/>
      <c r="Y1012" s="1"/>
      <c r="Z1012" s="1"/>
      <c r="AA1012" s="1"/>
      <c r="AB1012" s="1"/>
      <c r="AC1012" s="1"/>
      <c r="AD1012" s="1"/>
      <c r="AE1012" s="1"/>
      <c r="AF1012" s="1"/>
      <c r="AG1012" s="1"/>
      <c r="AH1012" s="1"/>
    </row>
    <row r="1013" spans="1:34" ht="56.25" customHeight="1" x14ac:dyDescent="0.25">
      <c r="A1013" s="953"/>
      <c r="B1013" s="311" t="s">
        <v>1174</v>
      </c>
      <c r="C1013" s="343" t="s">
        <v>176</v>
      </c>
      <c r="D1013" s="343">
        <v>20</v>
      </c>
      <c r="E1013" s="234">
        <v>0.15</v>
      </c>
      <c r="F1013" s="234">
        <v>8.4000000000000005E-2</v>
      </c>
      <c r="G1013" s="344">
        <f t="shared" si="34"/>
        <v>0.56000000000000005</v>
      </c>
      <c r="H1013" s="244" t="s">
        <v>1322</v>
      </c>
      <c r="I1013" s="1"/>
      <c r="J1013" s="193"/>
      <c r="K1013" s="1"/>
      <c r="L1013" s="1"/>
      <c r="M1013" s="1"/>
      <c r="N1013" s="194"/>
      <c r="O1013" s="1"/>
      <c r="P1013" s="1"/>
      <c r="Q1013" s="1"/>
      <c r="R1013" s="1"/>
      <c r="S1013" s="1"/>
      <c r="T1013" s="1"/>
      <c r="U1013" s="1"/>
      <c r="V1013" s="1"/>
      <c r="W1013" s="1"/>
      <c r="X1013" s="1"/>
      <c r="Y1013" s="1"/>
      <c r="Z1013" s="1"/>
      <c r="AA1013" s="1"/>
      <c r="AB1013" s="1"/>
      <c r="AC1013" s="1"/>
      <c r="AD1013" s="1"/>
      <c r="AE1013" s="1"/>
      <c r="AF1013" s="1"/>
      <c r="AG1013" s="1"/>
      <c r="AH1013" s="1"/>
    </row>
    <row r="1014" spans="1:34" ht="56.25" customHeight="1" x14ac:dyDescent="0.25">
      <c r="A1014" s="952" t="s">
        <v>932</v>
      </c>
      <c r="B1014" s="295" t="s">
        <v>1165</v>
      </c>
      <c r="C1014" s="332" t="s">
        <v>176</v>
      </c>
      <c r="D1014" s="332">
        <v>20</v>
      </c>
      <c r="E1014" s="223">
        <v>330</v>
      </c>
      <c r="F1014" s="158">
        <v>220</v>
      </c>
      <c r="G1014" s="342">
        <f t="shared" si="34"/>
        <v>0.66666666666666663</v>
      </c>
      <c r="H1014" s="209" t="s">
        <v>1323</v>
      </c>
      <c r="J1014" s="125"/>
      <c r="N1014" s="162"/>
    </row>
    <row r="1015" spans="1:34" ht="56.25" customHeight="1" x14ac:dyDescent="0.25">
      <c r="A1015" s="948"/>
      <c r="B1015" s="295" t="s">
        <v>1167</v>
      </c>
      <c r="C1015" s="332" t="s">
        <v>1168</v>
      </c>
      <c r="D1015" s="332">
        <v>20</v>
      </c>
      <c r="E1015" s="223">
        <v>0.6</v>
      </c>
      <c r="F1015" s="158">
        <v>0.43109999999999998</v>
      </c>
      <c r="G1015" s="342">
        <f t="shared" si="34"/>
        <v>0.71850000000000003</v>
      </c>
      <c r="H1015" s="209" t="s">
        <v>1324</v>
      </c>
      <c r="J1015" s="125"/>
      <c r="N1015" s="162"/>
    </row>
    <row r="1016" spans="1:34" ht="56.25" customHeight="1" x14ac:dyDescent="0.25">
      <c r="A1016" s="948"/>
      <c r="B1016" s="295" t="s">
        <v>1170</v>
      </c>
      <c r="C1016" s="332" t="s">
        <v>176</v>
      </c>
      <c r="D1016" s="332">
        <v>20</v>
      </c>
      <c r="E1016" s="223">
        <v>0.3</v>
      </c>
      <c r="F1016" s="158">
        <v>0.24</v>
      </c>
      <c r="G1016" s="342">
        <f t="shared" si="34"/>
        <v>0.8</v>
      </c>
      <c r="H1016" s="209" t="s">
        <v>1325</v>
      </c>
      <c r="J1016" s="125"/>
      <c r="N1016" s="162"/>
    </row>
    <row r="1017" spans="1:34" ht="56.25" customHeight="1" x14ac:dyDescent="0.25">
      <c r="A1017" s="948"/>
      <c r="B1017" s="295" t="s">
        <v>1172</v>
      </c>
      <c r="C1017" s="332" t="s">
        <v>176</v>
      </c>
      <c r="D1017" s="332">
        <v>20</v>
      </c>
      <c r="E1017" s="223">
        <v>33</v>
      </c>
      <c r="F1017" s="158">
        <v>22.44</v>
      </c>
      <c r="G1017" s="342">
        <f t="shared" si="34"/>
        <v>0.68</v>
      </c>
      <c r="H1017" s="209" t="s">
        <v>1326</v>
      </c>
      <c r="J1017" s="125"/>
      <c r="N1017" s="162"/>
    </row>
    <row r="1018" spans="1:34" ht="56.25" customHeight="1" x14ac:dyDescent="0.25">
      <c r="A1018" s="953"/>
      <c r="B1018" s="295" t="s">
        <v>1174</v>
      </c>
      <c r="C1018" s="332" t="s">
        <v>176</v>
      </c>
      <c r="D1018" s="332">
        <v>20</v>
      </c>
      <c r="E1018" s="223">
        <v>0.15</v>
      </c>
      <c r="F1018" s="223">
        <v>9.9000000000000005E-2</v>
      </c>
      <c r="G1018" s="342">
        <f t="shared" si="34"/>
        <v>0.66</v>
      </c>
      <c r="H1018" s="209" t="s">
        <v>1327</v>
      </c>
      <c r="J1018" s="125"/>
      <c r="N1018" s="162"/>
    </row>
    <row r="1019" spans="1:34" ht="56.25" customHeight="1" x14ac:dyDescent="0.25">
      <c r="A1019" s="967" t="s">
        <v>933</v>
      </c>
      <c r="B1019" s="311" t="s">
        <v>1165</v>
      </c>
      <c r="C1019" s="343" t="s">
        <v>176</v>
      </c>
      <c r="D1019" s="343">
        <v>20</v>
      </c>
      <c r="E1019" s="234">
        <v>330</v>
      </c>
      <c r="F1019" s="157">
        <v>251</v>
      </c>
      <c r="G1019" s="344">
        <f t="shared" si="34"/>
        <v>0.76060606060606062</v>
      </c>
      <c r="H1019" s="244" t="s">
        <v>1328</v>
      </c>
      <c r="I1019" s="1"/>
      <c r="J1019" s="193"/>
      <c r="K1019" s="1"/>
      <c r="L1019" s="1"/>
      <c r="M1019" s="1"/>
      <c r="N1019" s="194"/>
      <c r="O1019" s="1"/>
      <c r="P1019" s="1"/>
      <c r="Q1019" s="1"/>
      <c r="R1019" s="1"/>
      <c r="S1019" s="1"/>
      <c r="T1019" s="1"/>
      <c r="U1019" s="1"/>
      <c r="V1019" s="1"/>
      <c r="W1019" s="1"/>
      <c r="X1019" s="1"/>
      <c r="Y1019" s="1"/>
      <c r="Z1019" s="1"/>
      <c r="AA1019" s="1"/>
      <c r="AB1019" s="1"/>
      <c r="AC1019" s="1"/>
      <c r="AD1019" s="1"/>
      <c r="AE1019" s="1"/>
      <c r="AF1019" s="1"/>
      <c r="AG1019" s="1"/>
      <c r="AH1019" s="1"/>
    </row>
    <row r="1020" spans="1:34" ht="56.25" customHeight="1" x14ac:dyDescent="0.25">
      <c r="A1020" s="948"/>
      <c r="B1020" s="311" t="s">
        <v>1167</v>
      </c>
      <c r="C1020" s="343" t="s">
        <v>1168</v>
      </c>
      <c r="D1020" s="343">
        <v>20</v>
      </c>
      <c r="E1020" s="234">
        <v>0.6</v>
      </c>
      <c r="F1020" s="157">
        <v>0.48959999999999998</v>
      </c>
      <c r="G1020" s="344">
        <f t="shared" si="34"/>
        <v>0.81599999999999995</v>
      </c>
      <c r="H1020" s="244" t="s">
        <v>1329</v>
      </c>
      <c r="I1020" s="1"/>
      <c r="J1020" s="193"/>
      <c r="K1020" s="1"/>
      <c r="L1020" s="1"/>
      <c r="M1020" s="1"/>
      <c r="N1020" s="194"/>
      <c r="O1020" s="1"/>
      <c r="P1020" s="1"/>
      <c r="Q1020" s="1"/>
      <c r="R1020" s="1"/>
      <c r="S1020" s="1"/>
      <c r="T1020" s="1"/>
      <c r="U1020" s="1"/>
      <c r="V1020" s="1"/>
      <c r="W1020" s="1"/>
      <c r="X1020" s="1"/>
      <c r="Y1020" s="1"/>
      <c r="Z1020" s="1"/>
      <c r="AA1020" s="1"/>
      <c r="AB1020" s="1"/>
      <c r="AC1020" s="1"/>
      <c r="AD1020" s="1"/>
      <c r="AE1020" s="1"/>
      <c r="AF1020" s="1"/>
      <c r="AG1020" s="1"/>
      <c r="AH1020" s="1"/>
    </row>
    <row r="1021" spans="1:34" ht="56.25" customHeight="1" x14ac:dyDescent="0.25">
      <c r="A1021" s="948"/>
      <c r="B1021" s="320" t="s">
        <v>1170</v>
      </c>
      <c r="C1021" s="345" t="s">
        <v>176</v>
      </c>
      <c r="D1021" s="345">
        <v>20</v>
      </c>
      <c r="E1021" s="346">
        <v>0.3</v>
      </c>
      <c r="F1021" s="266">
        <v>0.27</v>
      </c>
      <c r="G1021" s="347">
        <f t="shared" si="34"/>
        <v>0.90000000000000013</v>
      </c>
      <c r="H1021" s="268" t="s">
        <v>1330</v>
      </c>
      <c r="I1021" s="269"/>
      <c r="J1021" s="348"/>
      <c r="K1021" s="269"/>
      <c r="L1021" s="269"/>
      <c r="M1021" s="269"/>
      <c r="N1021" s="349"/>
      <c r="O1021" s="269"/>
      <c r="P1021" s="269"/>
      <c r="Q1021" s="269"/>
      <c r="R1021" s="269"/>
      <c r="S1021" s="269"/>
      <c r="T1021" s="269"/>
      <c r="U1021" s="269"/>
      <c r="V1021" s="269"/>
      <c r="W1021" s="269"/>
      <c r="X1021" s="269"/>
      <c r="Y1021" s="269"/>
      <c r="Z1021" s="269"/>
      <c r="AA1021" s="269"/>
      <c r="AB1021" s="269"/>
      <c r="AC1021" s="269"/>
      <c r="AD1021" s="269"/>
      <c r="AE1021" s="269"/>
      <c r="AF1021" s="269"/>
      <c r="AG1021" s="269"/>
      <c r="AH1021" s="269"/>
    </row>
    <row r="1022" spans="1:34" ht="56.25" customHeight="1" x14ac:dyDescent="0.25">
      <c r="A1022" s="948"/>
      <c r="B1022" s="320" t="s">
        <v>1172</v>
      </c>
      <c r="C1022" s="345" t="s">
        <v>176</v>
      </c>
      <c r="D1022" s="345">
        <v>20</v>
      </c>
      <c r="E1022" s="346">
        <v>33</v>
      </c>
      <c r="F1022" s="266">
        <v>25.41</v>
      </c>
      <c r="G1022" s="347">
        <f t="shared" si="34"/>
        <v>0.77</v>
      </c>
      <c r="H1022" s="268" t="s">
        <v>1331</v>
      </c>
      <c r="I1022" s="269"/>
      <c r="J1022" s="348"/>
      <c r="K1022" s="269"/>
      <c r="L1022" s="269"/>
      <c r="M1022" s="269"/>
      <c r="N1022" s="349"/>
      <c r="O1022" s="269"/>
      <c r="P1022" s="269"/>
      <c r="Q1022" s="269"/>
      <c r="R1022" s="269"/>
      <c r="S1022" s="269"/>
      <c r="T1022" s="269"/>
      <c r="U1022" s="269"/>
      <c r="V1022" s="269"/>
      <c r="W1022" s="269"/>
      <c r="X1022" s="269"/>
      <c r="Y1022" s="269"/>
      <c r="Z1022" s="269"/>
      <c r="AA1022" s="269"/>
      <c r="AB1022" s="269"/>
      <c r="AC1022" s="269"/>
      <c r="AD1022" s="269"/>
      <c r="AE1022" s="269"/>
      <c r="AF1022" s="269"/>
      <c r="AG1022" s="269"/>
      <c r="AH1022" s="269"/>
    </row>
    <row r="1023" spans="1:34" ht="56.25" customHeight="1" x14ac:dyDescent="0.25">
      <c r="A1023" s="953"/>
      <c r="B1023" s="320" t="s">
        <v>1174</v>
      </c>
      <c r="C1023" s="345" t="s">
        <v>176</v>
      </c>
      <c r="D1023" s="345">
        <v>20</v>
      </c>
      <c r="E1023" s="346">
        <v>0.15</v>
      </c>
      <c r="F1023" s="346">
        <v>0.112</v>
      </c>
      <c r="G1023" s="347">
        <f t="shared" si="34"/>
        <v>0.7466666666666667</v>
      </c>
      <c r="H1023" s="268" t="s">
        <v>1332</v>
      </c>
      <c r="I1023" s="269"/>
      <c r="J1023" s="348"/>
      <c r="K1023" s="269"/>
      <c r="L1023" s="269"/>
      <c r="M1023" s="269"/>
      <c r="N1023" s="349"/>
      <c r="O1023" s="269"/>
      <c r="P1023" s="269"/>
      <c r="Q1023" s="269"/>
      <c r="R1023" s="269"/>
      <c r="S1023" s="269"/>
      <c r="T1023" s="269"/>
      <c r="U1023" s="269"/>
      <c r="V1023" s="269"/>
      <c r="W1023" s="269"/>
      <c r="X1023" s="269"/>
      <c r="Y1023" s="269"/>
      <c r="Z1023" s="269"/>
      <c r="AA1023" s="269"/>
      <c r="AB1023" s="269"/>
      <c r="AC1023" s="269"/>
      <c r="AD1023" s="269"/>
      <c r="AE1023" s="269"/>
      <c r="AF1023" s="269"/>
      <c r="AG1023" s="269"/>
      <c r="AH1023" s="269"/>
    </row>
    <row r="1024" spans="1:34" ht="56.25" customHeight="1" x14ac:dyDescent="0.25">
      <c r="A1024" s="970" t="s">
        <v>934</v>
      </c>
      <c r="B1024" s="320" t="s">
        <v>1165</v>
      </c>
      <c r="C1024" s="345" t="s">
        <v>176</v>
      </c>
      <c r="D1024" s="345">
        <v>20</v>
      </c>
      <c r="E1024" s="346">
        <v>330</v>
      </c>
      <c r="F1024" s="266">
        <v>302</v>
      </c>
      <c r="G1024" s="347">
        <f t="shared" si="34"/>
        <v>0.91515151515151516</v>
      </c>
      <c r="H1024" s="268" t="s">
        <v>1333</v>
      </c>
      <c r="I1024" s="269"/>
      <c r="J1024" s="348"/>
      <c r="K1024" s="269"/>
      <c r="L1024" s="269"/>
      <c r="M1024" s="269"/>
      <c r="N1024" s="349"/>
      <c r="O1024" s="269"/>
      <c r="P1024" s="269"/>
      <c r="Q1024" s="269"/>
      <c r="R1024" s="269"/>
      <c r="S1024" s="269"/>
      <c r="T1024" s="269"/>
      <c r="U1024" s="269"/>
      <c r="V1024" s="269"/>
      <c r="W1024" s="269"/>
      <c r="X1024" s="269"/>
      <c r="Y1024" s="269"/>
      <c r="Z1024" s="269"/>
      <c r="AA1024" s="269"/>
      <c r="AB1024" s="269"/>
      <c r="AC1024" s="269"/>
      <c r="AD1024" s="269"/>
      <c r="AE1024" s="269"/>
      <c r="AF1024" s="269"/>
      <c r="AG1024" s="269"/>
      <c r="AH1024" s="269"/>
    </row>
    <row r="1025" spans="1:34" ht="56.25" customHeight="1" x14ac:dyDescent="0.25">
      <c r="A1025" s="948"/>
      <c r="B1025" s="320" t="s">
        <v>1167</v>
      </c>
      <c r="C1025" s="345" t="s">
        <v>1168</v>
      </c>
      <c r="D1025" s="345">
        <v>20</v>
      </c>
      <c r="E1025" s="346">
        <v>0.6</v>
      </c>
      <c r="F1025" s="266">
        <v>0.57299999999999995</v>
      </c>
      <c r="G1025" s="347">
        <f t="shared" si="34"/>
        <v>0.95499999999999996</v>
      </c>
      <c r="H1025" s="268" t="s">
        <v>1334</v>
      </c>
      <c r="I1025" s="269"/>
      <c r="J1025" s="348"/>
      <c r="K1025" s="269"/>
      <c r="L1025" s="269"/>
      <c r="M1025" s="269"/>
      <c r="N1025" s="349"/>
      <c r="O1025" s="269"/>
      <c r="P1025" s="269"/>
      <c r="Q1025" s="269"/>
      <c r="R1025" s="269"/>
      <c r="S1025" s="269"/>
      <c r="T1025" s="269"/>
      <c r="U1025" s="269"/>
      <c r="V1025" s="269"/>
      <c r="W1025" s="269"/>
      <c r="X1025" s="269"/>
      <c r="Y1025" s="269"/>
      <c r="Z1025" s="269"/>
      <c r="AA1025" s="269"/>
      <c r="AB1025" s="269"/>
      <c r="AC1025" s="269"/>
      <c r="AD1025" s="269"/>
      <c r="AE1025" s="269"/>
      <c r="AF1025" s="269"/>
      <c r="AG1025" s="269"/>
      <c r="AH1025" s="269"/>
    </row>
    <row r="1026" spans="1:34" ht="56.25" customHeight="1" x14ac:dyDescent="0.25">
      <c r="A1026" s="948"/>
      <c r="B1026" s="320" t="s">
        <v>1170</v>
      </c>
      <c r="C1026" s="345" t="s">
        <v>176</v>
      </c>
      <c r="D1026" s="345">
        <v>20</v>
      </c>
      <c r="E1026" s="346">
        <v>0.3</v>
      </c>
      <c r="F1026" s="266">
        <v>0.29499999999999998</v>
      </c>
      <c r="G1026" s="347">
        <f t="shared" si="34"/>
        <v>0.98333333333333328</v>
      </c>
      <c r="H1026" s="268" t="s">
        <v>1335</v>
      </c>
      <c r="I1026" s="269"/>
      <c r="J1026" s="348"/>
      <c r="K1026" s="269"/>
      <c r="L1026" s="269"/>
      <c r="M1026" s="269"/>
      <c r="N1026" s="349"/>
      <c r="O1026" s="269"/>
      <c r="P1026" s="269"/>
      <c r="Q1026" s="269"/>
      <c r="R1026" s="269"/>
      <c r="S1026" s="269"/>
      <c r="T1026" s="269"/>
      <c r="U1026" s="269"/>
      <c r="V1026" s="269"/>
      <c r="W1026" s="269"/>
      <c r="X1026" s="269"/>
      <c r="Y1026" s="269"/>
      <c r="Z1026" s="269"/>
      <c r="AA1026" s="269"/>
      <c r="AB1026" s="269"/>
      <c r="AC1026" s="269"/>
      <c r="AD1026" s="269"/>
      <c r="AE1026" s="269"/>
      <c r="AF1026" s="269"/>
      <c r="AG1026" s="269"/>
      <c r="AH1026" s="269"/>
    </row>
    <row r="1027" spans="1:34" ht="56.25" customHeight="1" x14ac:dyDescent="0.25">
      <c r="A1027" s="948"/>
      <c r="B1027" s="320" t="s">
        <v>1172</v>
      </c>
      <c r="C1027" s="345" t="s">
        <v>176</v>
      </c>
      <c r="D1027" s="345">
        <v>20</v>
      </c>
      <c r="E1027" s="346">
        <v>33</v>
      </c>
      <c r="F1027" s="266">
        <v>31.35</v>
      </c>
      <c r="G1027" s="347">
        <f t="shared" si="34"/>
        <v>0.95000000000000007</v>
      </c>
      <c r="H1027" s="268" t="s">
        <v>1336</v>
      </c>
      <c r="I1027" s="269"/>
      <c r="J1027" s="348"/>
      <c r="K1027" s="269"/>
      <c r="L1027" s="269"/>
      <c r="M1027" s="269"/>
      <c r="N1027" s="349"/>
      <c r="O1027" s="269"/>
      <c r="P1027" s="269"/>
      <c r="Q1027" s="269"/>
      <c r="R1027" s="269"/>
      <c r="S1027" s="269"/>
      <c r="T1027" s="269"/>
      <c r="U1027" s="269"/>
      <c r="V1027" s="269"/>
      <c r="W1027" s="269"/>
      <c r="X1027" s="269"/>
      <c r="Y1027" s="269"/>
      <c r="Z1027" s="269"/>
      <c r="AA1027" s="269"/>
      <c r="AB1027" s="269"/>
      <c r="AC1027" s="269"/>
      <c r="AD1027" s="269"/>
      <c r="AE1027" s="269"/>
      <c r="AF1027" s="269"/>
      <c r="AG1027" s="269"/>
      <c r="AH1027" s="269"/>
    </row>
    <row r="1028" spans="1:34" ht="56.25" customHeight="1" x14ac:dyDescent="0.25">
      <c r="A1028" s="953"/>
      <c r="B1028" s="320" t="s">
        <v>1174</v>
      </c>
      <c r="C1028" s="345" t="s">
        <v>176</v>
      </c>
      <c r="D1028" s="345">
        <v>20</v>
      </c>
      <c r="E1028" s="346">
        <v>0.15</v>
      </c>
      <c r="F1028" s="346">
        <v>0.14799999999999999</v>
      </c>
      <c r="G1028" s="347">
        <f t="shared" si="34"/>
        <v>0.98666666666666669</v>
      </c>
      <c r="H1028" s="268" t="s">
        <v>1337</v>
      </c>
      <c r="I1028" s="269"/>
      <c r="J1028" s="348"/>
      <c r="K1028" s="269"/>
      <c r="L1028" s="269"/>
      <c r="M1028" s="269"/>
      <c r="N1028" s="349"/>
      <c r="O1028" s="269"/>
      <c r="P1028" s="269"/>
      <c r="Q1028" s="269"/>
      <c r="R1028" s="269"/>
      <c r="S1028" s="269"/>
      <c r="T1028" s="269"/>
      <c r="U1028" s="269"/>
      <c r="V1028" s="269"/>
      <c r="W1028" s="269"/>
      <c r="X1028" s="269"/>
      <c r="Y1028" s="269"/>
      <c r="Z1028" s="269"/>
      <c r="AA1028" s="269"/>
      <c r="AB1028" s="269"/>
      <c r="AC1028" s="269"/>
      <c r="AD1028" s="269"/>
      <c r="AE1028" s="269"/>
      <c r="AF1028" s="269"/>
      <c r="AG1028" s="269"/>
      <c r="AH1028" s="269"/>
    </row>
    <row r="1029" spans="1:34" ht="56.25" customHeight="1" x14ac:dyDescent="0.25">
      <c r="A1029" s="970" t="s">
        <v>936</v>
      </c>
      <c r="B1029" s="320" t="s">
        <v>1165</v>
      </c>
      <c r="C1029" s="345" t="s">
        <v>176</v>
      </c>
      <c r="D1029" s="345">
        <v>20</v>
      </c>
      <c r="E1029" s="346">
        <v>330</v>
      </c>
      <c r="F1029" s="266">
        <v>302</v>
      </c>
      <c r="G1029" s="347">
        <f t="shared" si="34"/>
        <v>0.91515151515151516</v>
      </c>
      <c r="H1029" s="268" t="s">
        <v>1333</v>
      </c>
      <c r="I1029" s="269"/>
      <c r="J1029" s="348"/>
      <c r="K1029" s="269"/>
      <c r="L1029" s="269"/>
      <c r="M1029" s="269"/>
      <c r="N1029" s="349"/>
      <c r="O1029" s="269"/>
      <c r="P1029" s="269"/>
      <c r="Q1029" s="269"/>
      <c r="R1029" s="269"/>
      <c r="S1029" s="269"/>
      <c r="T1029" s="269"/>
      <c r="U1029" s="269"/>
      <c r="V1029" s="269"/>
      <c r="W1029" s="269"/>
      <c r="X1029" s="269"/>
      <c r="Y1029" s="269"/>
      <c r="Z1029" s="269"/>
      <c r="AA1029" s="269"/>
      <c r="AB1029" s="269"/>
      <c r="AC1029" s="269"/>
      <c r="AD1029" s="269"/>
      <c r="AE1029" s="269"/>
      <c r="AF1029" s="269"/>
      <c r="AG1029" s="269"/>
      <c r="AH1029" s="269"/>
    </row>
    <row r="1030" spans="1:34" ht="56.25" customHeight="1" x14ac:dyDescent="0.25">
      <c r="A1030" s="948"/>
      <c r="B1030" s="320" t="s">
        <v>1167</v>
      </c>
      <c r="C1030" s="345" t="s">
        <v>1168</v>
      </c>
      <c r="D1030" s="345">
        <v>20</v>
      </c>
      <c r="E1030" s="346">
        <v>0.6</v>
      </c>
      <c r="F1030" s="266">
        <v>0.57299999999999995</v>
      </c>
      <c r="G1030" s="347">
        <f t="shared" si="34"/>
        <v>0.95499999999999996</v>
      </c>
      <c r="H1030" s="268" t="s">
        <v>1334</v>
      </c>
      <c r="I1030" s="269"/>
      <c r="J1030" s="348"/>
      <c r="K1030" s="269"/>
      <c r="L1030" s="269"/>
      <c r="M1030" s="269"/>
      <c r="N1030" s="349"/>
      <c r="O1030" s="269"/>
      <c r="P1030" s="269"/>
      <c r="Q1030" s="269"/>
      <c r="R1030" s="269"/>
      <c r="S1030" s="269"/>
      <c r="T1030" s="269"/>
      <c r="U1030" s="269"/>
      <c r="V1030" s="269"/>
      <c r="W1030" s="269"/>
      <c r="X1030" s="269"/>
      <c r="Y1030" s="269"/>
      <c r="Z1030" s="269"/>
      <c r="AA1030" s="269"/>
      <c r="AB1030" s="269"/>
      <c r="AC1030" s="269"/>
      <c r="AD1030" s="269"/>
      <c r="AE1030" s="269"/>
      <c r="AF1030" s="269"/>
      <c r="AG1030" s="269"/>
      <c r="AH1030" s="269"/>
    </row>
    <row r="1031" spans="1:34" ht="56.25" customHeight="1" x14ac:dyDescent="0.25">
      <c r="A1031" s="948"/>
      <c r="B1031" s="320" t="s">
        <v>1170</v>
      </c>
      <c r="C1031" s="345" t="s">
        <v>176</v>
      </c>
      <c r="D1031" s="345">
        <v>20</v>
      </c>
      <c r="E1031" s="346">
        <v>0.3</v>
      </c>
      <c r="F1031" s="266">
        <v>0.29499999999999998</v>
      </c>
      <c r="G1031" s="347">
        <f t="shared" si="34"/>
        <v>0.98333333333333328</v>
      </c>
      <c r="H1031" s="268" t="s">
        <v>1335</v>
      </c>
      <c r="I1031" s="269"/>
      <c r="J1031" s="348"/>
      <c r="K1031" s="269"/>
      <c r="L1031" s="269"/>
      <c r="M1031" s="269"/>
      <c r="N1031" s="349"/>
      <c r="O1031" s="269"/>
      <c r="P1031" s="269"/>
      <c r="Q1031" s="269"/>
      <c r="R1031" s="269"/>
      <c r="S1031" s="269"/>
      <c r="T1031" s="269"/>
      <c r="U1031" s="269"/>
      <c r="V1031" s="269"/>
      <c r="W1031" s="269"/>
      <c r="X1031" s="269"/>
      <c r="Y1031" s="269"/>
      <c r="Z1031" s="269"/>
      <c r="AA1031" s="269"/>
      <c r="AB1031" s="269"/>
      <c r="AC1031" s="269"/>
      <c r="AD1031" s="269"/>
      <c r="AE1031" s="269"/>
      <c r="AF1031" s="269"/>
      <c r="AG1031" s="269"/>
      <c r="AH1031" s="269"/>
    </row>
    <row r="1032" spans="1:34" ht="56.25" customHeight="1" x14ac:dyDescent="0.25">
      <c r="A1032" s="948"/>
      <c r="B1032" s="320" t="s">
        <v>1172</v>
      </c>
      <c r="C1032" s="345" t="s">
        <v>176</v>
      </c>
      <c r="D1032" s="345">
        <v>20</v>
      </c>
      <c r="E1032" s="346">
        <v>33</v>
      </c>
      <c r="F1032" s="266">
        <v>31.35</v>
      </c>
      <c r="G1032" s="347">
        <f t="shared" si="34"/>
        <v>0.95000000000000007</v>
      </c>
      <c r="H1032" s="268" t="s">
        <v>1336</v>
      </c>
      <c r="I1032" s="269"/>
      <c r="J1032" s="348"/>
      <c r="K1032" s="269"/>
      <c r="L1032" s="269"/>
      <c r="M1032" s="269"/>
      <c r="N1032" s="349"/>
      <c r="O1032" s="269"/>
      <c r="P1032" s="269"/>
      <c r="Q1032" s="269"/>
      <c r="R1032" s="269"/>
      <c r="S1032" s="269"/>
      <c r="T1032" s="269"/>
      <c r="U1032" s="269"/>
      <c r="V1032" s="269"/>
      <c r="W1032" s="269"/>
      <c r="X1032" s="269"/>
      <c r="Y1032" s="269"/>
      <c r="Z1032" s="269"/>
      <c r="AA1032" s="269"/>
      <c r="AB1032" s="269"/>
      <c r="AC1032" s="269"/>
      <c r="AD1032" s="269"/>
      <c r="AE1032" s="269"/>
      <c r="AF1032" s="269"/>
      <c r="AG1032" s="269"/>
      <c r="AH1032" s="269"/>
    </row>
    <row r="1033" spans="1:34" ht="56.25" customHeight="1" x14ac:dyDescent="0.25">
      <c r="A1033" s="953"/>
      <c r="B1033" s="320" t="s">
        <v>1174</v>
      </c>
      <c r="C1033" s="345" t="s">
        <v>176</v>
      </c>
      <c r="D1033" s="345">
        <v>20</v>
      </c>
      <c r="E1033" s="346">
        <v>0.15</v>
      </c>
      <c r="F1033" s="346">
        <v>0.14799999999999999</v>
      </c>
      <c r="G1033" s="347">
        <f t="shared" si="34"/>
        <v>0.98666666666666669</v>
      </c>
      <c r="H1033" s="268" t="s">
        <v>1337</v>
      </c>
      <c r="I1033" s="269"/>
      <c r="J1033" s="348"/>
      <c r="K1033" s="269"/>
      <c r="L1033" s="269"/>
      <c r="M1033" s="269"/>
      <c r="N1033" s="349"/>
      <c r="O1033" s="269"/>
      <c r="P1033" s="269"/>
      <c r="Q1033" s="269"/>
      <c r="R1033" s="269"/>
      <c r="S1033" s="269"/>
      <c r="T1033" s="269"/>
      <c r="U1033" s="269"/>
      <c r="V1033" s="269"/>
      <c r="W1033" s="269"/>
      <c r="X1033" s="269"/>
      <c r="Y1033" s="269"/>
      <c r="Z1033" s="269"/>
      <c r="AA1033" s="269"/>
      <c r="AB1033" s="269"/>
      <c r="AC1033" s="269"/>
      <c r="AD1033" s="269"/>
      <c r="AE1033" s="269"/>
      <c r="AF1033" s="269"/>
      <c r="AG1033" s="269"/>
      <c r="AH1033" s="269"/>
    </row>
    <row r="1034" spans="1:34" s="361" customFormat="1" ht="56.25" customHeight="1" x14ac:dyDescent="0.25">
      <c r="A1034" s="971" t="s">
        <v>937</v>
      </c>
      <c r="B1034" s="385" t="s">
        <v>1165</v>
      </c>
      <c r="C1034" s="391" t="s">
        <v>176</v>
      </c>
      <c r="D1034" s="391">
        <v>20</v>
      </c>
      <c r="E1034" s="392">
        <v>330</v>
      </c>
      <c r="F1034" s="367">
        <v>322</v>
      </c>
      <c r="G1034" s="393">
        <f t="shared" si="34"/>
        <v>0.97575757575757571</v>
      </c>
      <c r="H1034" s="369" t="s">
        <v>1338</v>
      </c>
      <c r="I1034" s="370"/>
      <c r="J1034" s="394"/>
      <c r="K1034" s="370"/>
      <c r="L1034" s="370"/>
      <c r="M1034" s="370"/>
      <c r="N1034" s="395"/>
      <c r="O1034" s="370"/>
      <c r="P1034" s="370"/>
      <c r="Q1034" s="370"/>
      <c r="R1034" s="370"/>
      <c r="S1034" s="370"/>
      <c r="T1034" s="370"/>
      <c r="U1034" s="370"/>
      <c r="V1034" s="370"/>
      <c r="W1034" s="370"/>
      <c r="X1034" s="370"/>
      <c r="Y1034" s="370"/>
      <c r="Z1034" s="370"/>
      <c r="AA1034" s="370"/>
      <c r="AB1034" s="370"/>
      <c r="AC1034" s="370"/>
      <c r="AD1034" s="370"/>
      <c r="AE1034" s="370"/>
      <c r="AF1034" s="370"/>
      <c r="AG1034" s="370"/>
      <c r="AH1034" s="370"/>
    </row>
    <row r="1035" spans="1:34" s="361" customFormat="1" ht="56.25" customHeight="1" x14ac:dyDescent="0.25">
      <c r="A1035" s="972"/>
      <c r="B1035" s="385" t="s">
        <v>1167</v>
      </c>
      <c r="C1035" s="391" t="s">
        <v>1168</v>
      </c>
      <c r="D1035" s="391">
        <v>20</v>
      </c>
      <c r="E1035" s="392">
        <v>0.6</v>
      </c>
      <c r="F1035" s="367">
        <v>0.59219999999999995</v>
      </c>
      <c r="G1035" s="393">
        <f t="shared" si="34"/>
        <v>0.98699999999999999</v>
      </c>
      <c r="H1035" s="369" t="s">
        <v>1339</v>
      </c>
      <c r="I1035" s="370"/>
      <c r="J1035" s="394"/>
      <c r="K1035" s="370"/>
      <c r="L1035" s="370"/>
      <c r="M1035" s="370"/>
      <c r="N1035" s="395"/>
      <c r="O1035" s="370"/>
      <c r="P1035" s="370"/>
      <c r="Q1035" s="370"/>
      <c r="R1035" s="370"/>
      <c r="S1035" s="370"/>
      <c r="T1035" s="370"/>
      <c r="U1035" s="370"/>
      <c r="V1035" s="370"/>
      <c r="W1035" s="370"/>
      <c r="X1035" s="370"/>
      <c r="Y1035" s="370"/>
      <c r="Z1035" s="370"/>
      <c r="AA1035" s="370"/>
      <c r="AB1035" s="370"/>
      <c r="AC1035" s="370"/>
      <c r="AD1035" s="370"/>
      <c r="AE1035" s="370"/>
      <c r="AF1035" s="370"/>
      <c r="AG1035" s="370"/>
      <c r="AH1035" s="370"/>
    </row>
    <row r="1036" spans="1:34" s="361" customFormat="1" ht="56.25" customHeight="1" x14ac:dyDescent="0.25">
      <c r="A1036" s="972"/>
      <c r="B1036" s="385" t="s">
        <v>1170</v>
      </c>
      <c r="C1036" s="391" t="s">
        <v>176</v>
      </c>
      <c r="D1036" s="391">
        <v>20</v>
      </c>
      <c r="E1036" s="392">
        <v>0.3</v>
      </c>
      <c r="F1036" s="367">
        <v>0.3</v>
      </c>
      <c r="G1036" s="393">
        <f t="shared" si="34"/>
        <v>1</v>
      </c>
      <c r="H1036" s="369" t="s">
        <v>1340</v>
      </c>
      <c r="I1036" s="370"/>
      <c r="J1036" s="394"/>
      <c r="K1036" s="370"/>
      <c r="L1036" s="370"/>
      <c r="M1036" s="370"/>
      <c r="N1036" s="395"/>
      <c r="O1036" s="370"/>
      <c r="P1036" s="370"/>
      <c r="Q1036" s="370"/>
      <c r="R1036" s="370"/>
      <c r="S1036" s="370"/>
      <c r="T1036" s="370"/>
      <c r="U1036" s="370"/>
      <c r="V1036" s="370"/>
      <c r="W1036" s="370"/>
      <c r="X1036" s="370"/>
      <c r="Y1036" s="370"/>
      <c r="Z1036" s="370"/>
      <c r="AA1036" s="370"/>
      <c r="AB1036" s="370"/>
      <c r="AC1036" s="370"/>
      <c r="AD1036" s="370"/>
      <c r="AE1036" s="370"/>
      <c r="AF1036" s="370"/>
      <c r="AG1036" s="370"/>
      <c r="AH1036" s="370"/>
    </row>
    <row r="1037" spans="1:34" s="361" customFormat="1" ht="56.25" customHeight="1" x14ac:dyDescent="0.25">
      <c r="A1037" s="972"/>
      <c r="B1037" s="385" t="s">
        <v>1172</v>
      </c>
      <c r="C1037" s="391" t="s">
        <v>176</v>
      </c>
      <c r="D1037" s="391">
        <v>20</v>
      </c>
      <c r="E1037" s="392">
        <v>33</v>
      </c>
      <c r="F1037" s="367">
        <v>33</v>
      </c>
      <c r="G1037" s="393">
        <f t="shared" si="34"/>
        <v>1</v>
      </c>
      <c r="H1037" s="369" t="s">
        <v>1341</v>
      </c>
      <c r="I1037" s="370"/>
      <c r="J1037" s="394"/>
      <c r="K1037" s="370"/>
      <c r="L1037" s="370"/>
      <c r="M1037" s="370"/>
      <c r="N1037" s="395"/>
      <c r="O1037" s="370"/>
      <c r="P1037" s="370"/>
      <c r="Q1037" s="370"/>
      <c r="R1037" s="370"/>
      <c r="S1037" s="370"/>
      <c r="T1037" s="370"/>
      <c r="U1037" s="370"/>
      <c r="V1037" s="370"/>
      <c r="W1037" s="370"/>
      <c r="X1037" s="370"/>
      <c r="Y1037" s="370"/>
      <c r="Z1037" s="370"/>
      <c r="AA1037" s="370"/>
      <c r="AB1037" s="370"/>
      <c r="AC1037" s="370"/>
      <c r="AD1037" s="370"/>
      <c r="AE1037" s="370"/>
      <c r="AF1037" s="370"/>
      <c r="AG1037" s="370"/>
      <c r="AH1037" s="370"/>
    </row>
    <row r="1038" spans="1:34" s="361" customFormat="1" ht="56.25" customHeight="1" x14ac:dyDescent="0.25">
      <c r="A1038" s="973"/>
      <c r="B1038" s="385" t="s">
        <v>1174</v>
      </c>
      <c r="C1038" s="391" t="s">
        <v>176</v>
      </c>
      <c r="D1038" s="391">
        <v>20</v>
      </c>
      <c r="E1038" s="392">
        <v>0.15</v>
      </c>
      <c r="F1038" s="392">
        <v>0.15</v>
      </c>
      <c r="G1038" s="393">
        <f t="shared" si="34"/>
        <v>1</v>
      </c>
      <c r="H1038" s="369" t="s">
        <v>1337</v>
      </c>
      <c r="I1038" s="370"/>
      <c r="J1038" s="394"/>
      <c r="K1038" s="370"/>
      <c r="L1038" s="370"/>
      <c r="M1038" s="370"/>
      <c r="N1038" s="395"/>
      <c r="O1038" s="370"/>
      <c r="P1038" s="370"/>
      <c r="Q1038" s="370"/>
      <c r="R1038" s="370"/>
      <c r="S1038" s="370"/>
      <c r="T1038" s="370"/>
      <c r="U1038" s="370"/>
      <c r="V1038" s="370"/>
      <c r="W1038" s="370"/>
      <c r="X1038" s="370"/>
      <c r="Y1038" s="370"/>
      <c r="Z1038" s="370"/>
      <c r="AA1038" s="370"/>
      <c r="AB1038" s="370"/>
      <c r="AC1038" s="370"/>
      <c r="AD1038" s="370"/>
      <c r="AE1038" s="370"/>
      <c r="AF1038" s="370"/>
      <c r="AG1038" s="370"/>
      <c r="AH1038" s="370"/>
    </row>
    <row r="1039" spans="1:34" ht="15.75" hidden="1" customHeight="1" x14ac:dyDescent="0.3">
      <c r="A1039" s="956" t="s">
        <v>1342</v>
      </c>
      <c r="B1039" s="679"/>
      <c r="C1039" s="679"/>
      <c r="D1039" s="679"/>
      <c r="E1039" s="679"/>
      <c r="F1039" s="679"/>
      <c r="G1039" s="679"/>
      <c r="H1039" s="721"/>
      <c r="J1039" s="125"/>
      <c r="N1039" s="162"/>
    </row>
    <row r="1040" spans="1:34" ht="63.75" hidden="1" customHeight="1" x14ac:dyDescent="0.25">
      <c r="A1040" s="163" t="s">
        <v>28</v>
      </c>
      <c r="B1040" s="164" t="s">
        <v>1161</v>
      </c>
      <c r="C1040" s="325" t="s">
        <v>953</v>
      </c>
      <c r="D1040" s="325" t="s">
        <v>1139</v>
      </c>
      <c r="E1040" s="325" t="s">
        <v>1343</v>
      </c>
      <c r="F1040" s="325" t="s">
        <v>1344</v>
      </c>
      <c r="G1040" s="325" t="s">
        <v>1345</v>
      </c>
      <c r="H1040" s="165" t="s">
        <v>1147</v>
      </c>
      <c r="J1040" s="125"/>
      <c r="N1040" s="162"/>
    </row>
    <row r="1041" spans="1:34" ht="15.75" hidden="1" customHeight="1" x14ac:dyDescent="0.25">
      <c r="A1041" s="175" t="s">
        <v>939</v>
      </c>
      <c r="B1041" s="167"/>
      <c r="C1041" s="168"/>
      <c r="D1041" s="168"/>
      <c r="E1041" s="158"/>
      <c r="F1041" s="158"/>
      <c r="G1041" s="158" t="e">
        <f t="shared" ref="G1041:G1052" si="35">F1041/E1041</f>
        <v>#DIV/0!</v>
      </c>
      <c r="H1041" s="169"/>
      <c r="J1041" s="125"/>
      <c r="N1041" s="162"/>
    </row>
    <row r="1042" spans="1:34" ht="15.75" hidden="1" customHeight="1" x14ac:dyDescent="0.25">
      <c r="A1042" s="175" t="s">
        <v>940</v>
      </c>
      <c r="B1042" s="167"/>
      <c r="C1042" s="168"/>
      <c r="D1042" s="168"/>
      <c r="E1042" s="158"/>
      <c r="F1042" s="158"/>
      <c r="G1042" s="158" t="e">
        <f t="shared" si="35"/>
        <v>#DIV/0!</v>
      </c>
      <c r="H1042" s="169"/>
      <c r="J1042" s="125"/>
      <c r="N1042" s="162"/>
    </row>
    <row r="1043" spans="1:34" ht="15.75" hidden="1" customHeight="1" x14ac:dyDescent="0.25">
      <c r="A1043" s="175" t="s">
        <v>941</v>
      </c>
      <c r="B1043" s="167"/>
      <c r="C1043" s="168"/>
      <c r="D1043" s="168"/>
      <c r="E1043" s="158"/>
      <c r="F1043" s="158"/>
      <c r="G1043" s="158" t="e">
        <f t="shared" si="35"/>
        <v>#DIV/0!</v>
      </c>
      <c r="H1043" s="169"/>
      <c r="J1043" s="125"/>
      <c r="N1043" s="162"/>
    </row>
    <row r="1044" spans="1:34" ht="15.75" hidden="1" customHeight="1" x14ac:dyDescent="0.25">
      <c r="A1044" s="175" t="s">
        <v>942</v>
      </c>
      <c r="B1044" s="167"/>
      <c r="C1044" s="168"/>
      <c r="D1044" s="168"/>
      <c r="E1044" s="158"/>
      <c r="F1044" s="158"/>
      <c r="G1044" s="158" t="e">
        <f t="shared" si="35"/>
        <v>#DIV/0!</v>
      </c>
      <c r="H1044" s="169"/>
      <c r="J1044" s="125"/>
      <c r="N1044" s="162"/>
    </row>
    <row r="1045" spans="1:34" ht="15.75" hidden="1" customHeight="1" x14ac:dyDescent="0.25">
      <c r="A1045" s="175" t="s">
        <v>943</v>
      </c>
      <c r="B1045" s="167"/>
      <c r="C1045" s="168"/>
      <c r="D1045" s="168"/>
      <c r="E1045" s="158"/>
      <c r="F1045" s="158"/>
      <c r="G1045" s="158" t="e">
        <f t="shared" si="35"/>
        <v>#DIV/0!</v>
      </c>
      <c r="H1045" s="169"/>
      <c r="J1045" s="125"/>
      <c r="N1045" s="162"/>
    </row>
    <row r="1046" spans="1:34" ht="15.75" hidden="1" customHeight="1" x14ac:dyDescent="0.25">
      <c r="A1046" s="175" t="s">
        <v>944</v>
      </c>
      <c r="B1046" s="167"/>
      <c r="C1046" s="168"/>
      <c r="D1046" s="168"/>
      <c r="E1046" s="158"/>
      <c r="F1046" s="158"/>
      <c r="G1046" s="158" t="e">
        <f t="shared" si="35"/>
        <v>#DIV/0!</v>
      </c>
      <c r="H1046" s="169"/>
      <c r="J1046" s="125"/>
      <c r="N1046" s="162"/>
    </row>
    <row r="1047" spans="1:34" ht="15.75" hidden="1" customHeight="1" x14ac:dyDescent="0.25">
      <c r="A1047" s="175" t="s">
        <v>931</v>
      </c>
      <c r="B1047" s="167"/>
      <c r="C1047" s="168"/>
      <c r="D1047" s="168"/>
      <c r="E1047" s="158"/>
      <c r="F1047" s="158"/>
      <c r="G1047" s="158" t="e">
        <f t="shared" si="35"/>
        <v>#DIV/0!</v>
      </c>
      <c r="H1047" s="169"/>
      <c r="J1047" s="125"/>
      <c r="N1047" s="162"/>
    </row>
    <row r="1048" spans="1:34" ht="15.75" hidden="1" customHeight="1" x14ac:dyDescent="0.25">
      <c r="A1048" s="175" t="s">
        <v>932</v>
      </c>
      <c r="B1048" s="167"/>
      <c r="C1048" s="168"/>
      <c r="D1048" s="168"/>
      <c r="E1048" s="158"/>
      <c r="F1048" s="158"/>
      <c r="G1048" s="158" t="e">
        <f t="shared" si="35"/>
        <v>#DIV/0!</v>
      </c>
      <c r="H1048" s="169"/>
      <c r="J1048" s="125"/>
      <c r="N1048" s="162"/>
    </row>
    <row r="1049" spans="1:34" ht="15.75" hidden="1" customHeight="1" x14ac:dyDescent="0.25">
      <c r="A1049" s="175" t="s">
        <v>933</v>
      </c>
      <c r="B1049" s="167"/>
      <c r="C1049" s="168"/>
      <c r="D1049" s="168"/>
      <c r="E1049" s="158"/>
      <c r="F1049" s="158"/>
      <c r="G1049" s="158" t="e">
        <f t="shared" si="35"/>
        <v>#DIV/0!</v>
      </c>
      <c r="H1049" s="169"/>
      <c r="J1049" s="125"/>
      <c r="N1049" s="162"/>
    </row>
    <row r="1050" spans="1:34" ht="15.75" hidden="1" customHeight="1" x14ac:dyDescent="0.25">
      <c r="A1050" s="175" t="s">
        <v>934</v>
      </c>
      <c r="B1050" s="167"/>
      <c r="C1050" s="168"/>
      <c r="D1050" s="168"/>
      <c r="E1050" s="158"/>
      <c r="F1050" s="158"/>
      <c r="G1050" s="158" t="e">
        <f t="shared" si="35"/>
        <v>#DIV/0!</v>
      </c>
      <c r="H1050" s="169"/>
      <c r="J1050" s="125"/>
      <c r="N1050" s="162"/>
    </row>
    <row r="1051" spans="1:34" ht="15.75" hidden="1" customHeight="1" x14ac:dyDescent="0.25">
      <c r="A1051" s="175" t="s">
        <v>936</v>
      </c>
      <c r="B1051" s="167"/>
      <c r="C1051" s="168"/>
      <c r="D1051" s="168"/>
      <c r="E1051" s="158"/>
      <c r="F1051" s="158"/>
      <c r="G1051" s="158" t="e">
        <f t="shared" si="35"/>
        <v>#DIV/0!</v>
      </c>
      <c r="H1051" s="169"/>
      <c r="J1051" s="125"/>
      <c r="N1051" s="162"/>
    </row>
    <row r="1052" spans="1:34" ht="15.75" hidden="1" customHeight="1" x14ac:dyDescent="0.25">
      <c r="A1052" s="179" t="s">
        <v>937</v>
      </c>
      <c r="B1052" s="204"/>
      <c r="C1052" s="205"/>
      <c r="D1052" s="205"/>
      <c r="E1052" s="206"/>
      <c r="F1052" s="206"/>
      <c r="G1052" s="206" t="e">
        <f t="shared" si="35"/>
        <v>#DIV/0!</v>
      </c>
      <c r="H1052" s="340"/>
      <c r="J1052" s="125"/>
      <c r="N1052" s="162"/>
    </row>
    <row r="1053" spans="1:34" ht="26.25" customHeight="1" x14ac:dyDescent="0.4">
      <c r="A1053" s="52" t="s">
        <v>199</v>
      </c>
      <c r="F1053" s="3"/>
      <c r="G1053" s="3"/>
      <c r="H1053" s="3"/>
      <c r="I1053" s="3"/>
      <c r="J1053" s="3"/>
      <c r="K1053" s="3"/>
      <c r="L1053" s="3"/>
      <c r="M1053" s="3"/>
      <c r="N1053" s="3"/>
      <c r="O1053" s="3"/>
      <c r="P1053" s="3"/>
      <c r="Q1053" s="3"/>
      <c r="R1053" s="3"/>
      <c r="S1053" s="3"/>
      <c r="T1053" s="3"/>
      <c r="U1053" s="3"/>
      <c r="V1053" s="53"/>
      <c r="W1053" s="54"/>
      <c r="X1053" s="55"/>
      <c r="Y1053" s="3"/>
      <c r="Z1053" s="54"/>
      <c r="AA1053" s="3"/>
      <c r="AB1053" s="3"/>
      <c r="AC1053" s="3"/>
      <c r="AD1053" s="3"/>
      <c r="AE1053" s="3"/>
      <c r="AF1053" s="3"/>
      <c r="AG1053" s="3"/>
      <c r="AH1053" s="3"/>
    </row>
    <row r="1054" spans="1:34" ht="26.25" customHeight="1" x14ac:dyDescent="0.25">
      <c r="A1054" s="60" t="s">
        <v>200</v>
      </c>
      <c r="B1054" s="710" t="s">
        <v>201</v>
      </c>
      <c r="C1054" s="711"/>
      <c r="D1054" s="711"/>
      <c r="E1054" s="711"/>
      <c r="F1054" s="711"/>
      <c r="G1054" s="712"/>
      <c r="H1054" s="719" t="s">
        <v>202</v>
      </c>
      <c r="I1054" s="711"/>
      <c r="J1054" s="711"/>
      <c r="K1054" s="711"/>
      <c r="L1054" s="711"/>
      <c r="M1054" s="711"/>
      <c r="N1054" s="711"/>
      <c r="O1054" s="711"/>
      <c r="P1054" s="712"/>
      <c r="Q1054" s="3"/>
      <c r="R1054" s="3"/>
      <c r="S1054" s="3"/>
      <c r="T1054" s="3"/>
      <c r="U1054" s="3"/>
      <c r="V1054" s="3"/>
      <c r="W1054" s="54"/>
      <c r="X1054" s="3"/>
      <c r="Y1054" s="3"/>
      <c r="Z1054" s="3"/>
      <c r="AA1054" s="3"/>
      <c r="AB1054" s="3"/>
      <c r="AC1054" s="3"/>
      <c r="AD1054" s="3"/>
      <c r="AE1054" s="3"/>
      <c r="AF1054" s="3"/>
      <c r="AG1054" s="3"/>
      <c r="AH1054" s="3"/>
    </row>
    <row r="1055" spans="1:34" ht="21" customHeight="1" x14ac:dyDescent="0.25">
      <c r="A1055" s="61">
        <v>13</v>
      </c>
      <c r="B1055" s="974" t="s">
        <v>203</v>
      </c>
      <c r="C1055" s="711"/>
      <c r="D1055" s="711"/>
      <c r="E1055" s="711"/>
      <c r="F1055" s="711"/>
      <c r="G1055" s="712"/>
      <c r="H1055" s="968" t="s">
        <v>204</v>
      </c>
      <c r="I1055" s="711"/>
      <c r="J1055" s="711"/>
      <c r="K1055" s="711"/>
      <c r="L1055" s="711"/>
      <c r="M1055" s="711"/>
      <c r="N1055" s="711"/>
      <c r="O1055" s="711"/>
      <c r="P1055" s="712"/>
      <c r="Q1055" s="3"/>
      <c r="R1055" s="3"/>
      <c r="S1055" s="3"/>
      <c r="T1055" s="3"/>
      <c r="U1055" s="3"/>
      <c r="V1055" s="969"/>
      <c r="W1055" s="673"/>
      <c r="X1055" s="673"/>
      <c r="Y1055" s="673"/>
      <c r="Z1055" s="673"/>
      <c r="AA1055" s="673"/>
      <c r="AB1055" s="673"/>
      <c r="AC1055" s="673"/>
      <c r="AD1055" s="673"/>
      <c r="AE1055" s="673"/>
      <c r="AF1055" s="673"/>
      <c r="AG1055" s="673"/>
      <c r="AH1055" s="673"/>
    </row>
    <row r="1056" spans="1:34" ht="15" customHeight="1" x14ac:dyDescent="0.25">
      <c r="A1056" s="61">
        <v>14</v>
      </c>
      <c r="B1056" s="974" t="s">
        <v>921</v>
      </c>
      <c r="C1056" s="711"/>
      <c r="D1056" s="711"/>
      <c r="E1056" s="711"/>
      <c r="F1056" s="711"/>
      <c r="G1056" s="712"/>
      <c r="H1056" s="968" t="s">
        <v>206</v>
      </c>
      <c r="I1056" s="711"/>
      <c r="J1056" s="711"/>
      <c r="K1056" s="711"/>
      <c r="L1056" s="711"/>
      <c r="M1056" s="711"/>
      <c r="N1056" s="711"/>
      <c r="O1056" s="711"/>
      <c r="P1056" s="712"/>
      <c r="Q1056" s="3"/>
      <c r="R1056" s="3"/>
      <c r="S1056" s="3"/>
      <c r="T1056" s="3"/>
      <c r="U1056" s="3"/>
      <c r="V1056" s="3"/>
      <c r="W1056" s="3"/>
      <c r="X1056" s="3"/>
      <c r="Y1056" s="3"/>
      <c r="Z1056" s="3"/>
      <c r="AA1056" s="3"/>
      <c r="AB1056" s="3"/>
      <c r="AC1056" s="3"/>
      <c r="AD1056" s="3"/>
      <c r="AE1056" s="3"/>
      <c r="AF1056" s="3"/>
      <c r="AG1056" s="3"/>
      <c r="AH1056" s="3"/>
    </row>
  </sheetData>
  <mergeCells count="426">
    <mergeCell ref="A848:A852"/>
    <mergeCell ref="B719:B722"/>
    <mergeCell ref="C719:C722"/>
    <mergeCell ref="A689:A697"/>
    <mergeCell ref="A698:A706"/>
    <mergeCell ref="A707:A715"/>
    <mergeCell ref="A716:A724"/>
    <mergeCell ref="A725:A733"/>
    <mergeCell ref="A734:A742"/>
    <mergeCell ref="A743:A751"/>
    <mergeCell ref="A843:H843"/>
    <mergeCell ref="B806:B808"/>
    <mergeCell ref="C806:C808"/>
    <mergeCell ref="B809:B812"/>
    <mergeCell ref="C809:C812"/>
    <mergeCell ref="C815:C817"/>
    <mergeCell ref="C818:C821"/>
    <mergeCell ref="B836:B839"/>
    <mergeCell ref="C836:C839"/>
    <mergeCell ref="B815:B817"/>
    <mergeCell ref="B818:B821"/>
    <mergeCell ref="A815:A823"/>
    <mergeCell ref="A824:A832"/>
    <mergeCell ref="B824:B826"/>
    <mergeCell ref="A854:H854"/>
    <mergeCell ref="A833:A841"/>
    <mergeCell ref="B833:B835"/>
    <mergeCell ref="C833:C835"/>
    <mergeCell ref="B638:B641"/>
    <mergeCell ref="C638:C641"/>
    <mergeCell ref="B644:B646"/>
    <mergeCell ref="C644:C646"/>
    <mergeCell ref="B647:B650"/>
    <mergeCell ref="C647:C650"/>
    <mergeCell ref="C653:C655"/>
    <mergeCell ref="B653:B655"/>
    <mergeCell ref="B656:B659"/>
    <mergeCell ref="C656:C659"/>
    <mergeCell ref="B662:B664"/>
    <mergeCell ref="C662:C664"/>
    <mergeCell ref="B665:B668"/>
    <mergeCell ref="C665:C668"/>
    <mergeCell ref="A680:A688"/>
    <mergeCell ref="B680:B682"/>
    <mergeCell ref="C680:C682"/>
    <mergeCell ref="B683:B686"/>
    <mergeCell ref="C683:C686"/>
    <mergeCell ref="A806:A814"/>
    <mergeCell ref="C824:C826"/>
    <mergeCell ref="B827:B830"/>
    <mergeCell ref="C827:C830"/>
    <mergeCell ref="B800:B803"/>
    <mergeCell ref="C800:C803"/>
    <mergeCell ref="A779:A787"/>
    <mergeCell ref="A788:A796"/>
    <mergeCell ref="B791:B794"/>
    <mergeCell ref="C791:C794"/>
    <mergeCell ref="A797:A805"/>
    <mergeCell ref="B797:B799"/>
    <mergeCell ref="C797:C799"/>
    <mergeCell ref="B788:B790"/>
    <mergeCell ref="C788:C790"/>
    <mergeCell ref="A752:A760"/>
    <mergeCell ref="A761:A769"/>
    <mergeCell ref="A770:A778"/>
    <mergeCell ref="B779:B781"/>
    <mergeCell ref="C779:C781"/>
    <mergeCell ref="B782:B785"/>
    <mergeCell ref="C782:C785"/>
    <mergeCell ref="B773:B776"/>
    <mergeCell ref="C773:C776"/>
    <mergeCell ref="B755:B758"/>
    <mergeCell ref="C755:C758"/>
    <mergeCell ref="B761:B763"/>
    <mergeCell ref="C761:C763"/>
    <mergeCell ref="B764:B767"/>
    <mergeCell ref="C764:C767"/>
    <mergeCell ref="C770:C772"/>
    <mergeCell ref="C737:C740"/>
    <mergeCell ref="B737:B740"/>
    <mergeCell ref="B743:B745"/>
    <mergeCell ref="C743:C745"/>
    <mergeCell ref="B746:B749"/>
    <mergeCell ref="C746:C749"/>
    <mergeCell ref="B752:B754"/>
    <mergeCell ref="C752:C754"/>
    <mergeCell ref="B770:B772"/>
    <mergeCell ref="B635:B637"/>
    <mergeCell ref="C635:C637"/>
    <mergeCell ref="B671:B673"/>
    <mergeCell ref="C671:C673"/>
    <mergeCell ref="B725:B727"/>
    <mergeCell ref="C725:C727"/>
    <mergeCell ref="B728:B731"/>
    <mergeCell ref="C728:C731"/>
    <mergeCell ref="B734:B736"/>
    <mergeCell ref="C734:C736"/>
    <mergeCell ref="C689:C691"/>
    <mergeCell ref="C692:C695"/>
    <mergeCell ref="B689:B691"/>
    <mergeCell ref="B692:B695"/>
    <mergeCell ref="B698:B700"/>
    <mergeCell ref="C698:C700"/>
    <mergeCell ref="B701:B704"/>
    <mergeCell ref="C701:C704"/>
    <mergeCell ref="C707:C709"/>
    <mergeCell ref="B707:B709"/>
    <mergeCell ref="B710:B713"/>
    <mergeCell ref="C710:C713"/>
    <mergeCell ref="B716:B718"/>
    <mergeCell ref="C716:C718"/>
    <mergeCell ref="C611:C614"/>
    <mergeCell ref="B617:B619"/>
    <mergeCell ref="C617:C619"/>
    <mergeCell ref="C620:C623"/>
    <mergeCell ref="B620:B623"/>
    <mergeCell ref="B626:B628"/>
    <mergeCell ref="C626:C628"/>
    <mergeCell ref="B629:B632"/>
    <mergeCell ref="C629:C632"/>
    <mergeCell ref="B1056:G1056"/>
    <mergeCell ref="H1056:P1056"/>
    <mergeCell ref="B542:B544"/>
    <mergeCell ref="C542:C544"/>
    <mergeCell ref="B545:B548"/>
    <mergeCell ref="C545:C548"/>
    <mergeCell ref="B551:B553"/>
    <mergeCell ref="C551:C553"/>
    <mergeCell ref="C554:C557"/>
    <mergeCell ref="B554:B557"/>
    <mergeCell ref="B563:B565"/>
    <mergeCell ref="C563:C565"/>
    <mergeCell ref="B566:B569"/>
    <mergeCell ref="C566:C569"/>
    <mergeCell ref="B572:B574"/>
    <mergeCell ref="C572:C574"/>
    <mergeCell ref="B575:B578"/>
    <mergeCell ref="C575:C578"/>
    <mergeCell ref="B581:B583"/>
    <mergeCell ref="C581:C583"/>
    <mergeCell ref="B584:B587"/>
    <mergeCell ref="C584:C587"/>
    <mergeCell ref="C590:C592"/>
    <mergeCell ref="B590:B592"/>
    <mergeCell ref="A979:A983"/>
    <mergeCell ref="A984:A988"/>
    <mergeCell ref="A989:A993"/>
    <mergeCell ref="A994:A998"/>
    <mergeCell ref="A999:A1003"/>
    <mergeCell ref="A1004:A1008"/>
    <mergeCell ref="A1009:A1013"/>
    <mergeCell ref="H1055:P1055"/>
    <mergeCell ref="V1055:AH1055"/>
    <mergeCell ref="A1029:A1033"/>
    <mergeCell ref="A1034:A1038"/>
    <mergeCell ref="A1014:A1018"/>
    <mergeCell ref="A1019:A1023"/>
    <mergeCell ref="A1024:A1028"/>
    <mergeCell ref="A1039:H1039"/>
    <mergeCell ref="B1054:G1054"/>
    <mergeCell ref="H1054:P1054"/>
    <mergeCell ref="B1055:G1055"/>
    <mergeCell ref="A956:A960"/>
    <mergeCell ref="A961:A965"/>
    <mergeCell ref="A966:A970"/>
    <mergeCell ref="A971:A975"/>
    <mergeCell ref="A977:H977"/>
    <mergeCell ref="A921:A925"/>
    <mergeCell ref="A926:A930"/>
    <mergeCell ref="A931:A935"/>
    <mergeCell ref="A936:A940"/>
    <mergeCell ref="A941:A945"/>
    <mergeCell ref="A946:A950"/>
    <mergeCell ref="A951:A955"/>
    <mergeCell ref="A891:A895"/>
    <mergeCell ref="A896:A900"/>
    <mergeCell ref="A901:A905"/>
    <mergeCell ref="A906:A910"/>
    <mergeCell ref="A911:A915"/>
    <mergeCell ref="A919:H919"/>
    <mergeCell ref="A856:A860"/>
    <mergeCell ref="A861:A865"/>
    <mergeCell ref="A866:A870"/>
    <mergeCell ref="A871:A875"/>
    <mergeCell ref="A876:A880"/>
    <mergeCell ref="A881:A885"/>
    <mergeCell ref="A886:A890"/>
    <mergeCell ref="A452:A460"/>
    <mergeCell ref="A461:A469"/>
    <mergeCell ref="B509:B512"/>
    <mergeCell ref="C509:C512"/>
    <mergeCell ref="B515:B517"/>
    <mergeCell ref="C515:C517"/>
    <mergeCell ref="B518:B521"/>
    <mergeCell ref="C518:C521"/>
    <mergeCell ref="C524:C526"/>
    <mergeCell ref="B524:B526"/>
    <mergeCell ref="B497:B499"/>
    <mergeCell ref="C497:C499"/>
    <mergeCell ref="B500:B503"/>
    <mergeCell ref="C500:C503"/>
    <mergeCell ref="B506:B508"/>
    <mergeCell ref="C506:C508"/>
    <mergeCell ref="C488:C490"/>
    <mergeCell ref="C491:C494"/>
    <mergeCell ref="B491:B494"/>
    <mergeCell ref="B452:B454"/>
    <mergeCell ref="C452:C454"/>
    <mergeCell ref="B455:B458"/>
    <mergeCell ref="C455:C458"/>
    <mergeCell ref="C461:C463"/>
    <mergeCell ref="B437:B440"/>
    <mergeCell ref="C437:C440"/>
    <mergeCell ref="B443:B445"/>
    <mergeCell ref="C443:C445"/>
    <mergeCell ref="A407:A415"/>
    <mergeCell ref="A416:A424"/>
    <mergeCell ref="A425:A433"/>
    <mergeCell ref="A434:A442"/>
    <mergeCell ref="A443:A451"/>
    <mergeCell ref="C416:C418"/>
    <mergeCell ref="B419:B422"/>
    <mergeCell ref="C419:C422"/>
    <mergeCell ref="B425:B427"/>
    <mergeCell ref="C425:C427"/>
    <mergeCell ref="C428:C431"/>
    <mergeCell ref="B428:B431"/>
    <mergeCell ref="B434:B436"/>
    <mergeCell ref="C434:C436"/>
    <mergeCell ref="B407:B409"/>
    <mergeCell ref="C407:C409"/>
    <mergeCell ref="B410:B413"/>
    <mergeCell ref="C410:C413"/>
    <mergeCell ref="B416:B418"/>
    <mergeCell ref="A563:A571"/>
    <mergeCell ref="A572:A580"/>
    <mergeCell ref="A581:A589"/>
    <mergeCell ref="A590:A598"/>
    <mergeCell ref="A662:A670"/>
    <mergeCell ref="A671:A679"/>
    <mergeCell ref="B674:B677"/>
    <mergeCell ref="C674:C677"/>
    <mergeCell ref="A599:A607"/>
    <mergeCell ref="A608:A616"/>
    <mergeCell ref="A617:A625"/>
    <mergeCell ref="A626:A634"/>
    <mergeCell ref="A635:A643"/>
    <mergeCell ref="A644:A652"/>
    <mergeCell ref="A653:A661"/>
    <mergeCell ref="B593:B596"/>
    <mergeCell ref="C593:C596"/>
    <mergeCell ref="B599:B601"/>
    <mergeCell ref="C599:C601"/>
    <mergeCell ref="B602:B605"/>
    <mergeCell ref="C602:C605"/>
    <mergeCell ref="B608:B610"/>
    <mergeCell ref="C608:C610"/>
    <mergeCell ref="B611:B614"/>
    <mergeCell ref="A561:G561"/>
    <mergeCell ref="A470:A478"/>
    <mergeCell ref="A479:A487"/>
    <mergeCell ref="A488:A496"/>
    <mergeCell ref="A497:A505"/>
    <mergeCell ref="A506:A514"/>
    <mergeCell ref="A515:A523"/>
    <mergeCell ref="A524:A532"/>
    <mergeCell ref="A533:A541"/>
    <mergeCell ref="A542:A550"/>
    <mergeCell ref="A551:A559"/>
    <mergeCell ref="B527:B530"/>
    <mergeCell ref="C527:C530"/>
    <mergeCell ref="B533:B535"/>
    <mergeCell ref="C533:C535"/>
    <mergeCell ref="B536:B539"/>
    <mergeCell ref="C536:C539"/>
    <mergeCell ref="B473:B476"/>
    <mergeCell ref="C473:C476"/>
    <mergeCell ref="B479:B481"/>
    <mergeCell ref="C479:C481"/>
    <mergeCell ref="B482:B485"/>
    <mergeCell ref="C482:C485"/>
    <mergeCell ref="B488:B490"/>
    <mergeCell ref="B461:B463"/>
    <mergeCell ref="B464:B467"/>
    <mergeCell ref="C464:C467"/>
    <mergeCell ref="B470:B472"/>
    <mergeCell ref="C470:C472"/>
    <mergeCell ref="B367:B369"/>
    <mergeCell ref="C367:C369"/>
    <mergeCell ref="B370:B373"/>
    <mergeCell ref="C370:C373"/>
    <mergeCell ref="A378:G378"/>
    <mergeCell ref="B380:B382"/>
    <mergeCell ref="C380:C382"/>
    <mergeCell ref="B446:B449"/>
    <mergeCell ref="C446:C449"/>
    <mergeCell ref="B383:B386"/>
    <mergeCell ref="C383:C386"/>
    <mergeCell ref="B389:B391"/>
    <mergeCell ref="C389:C391"/>
    <mergeCell ref="B392:B395"/>
    <mergeCell ref="C392:C395"/>
    <mergeCell ref="C398:C400"/>
    <mergeCell ref="B398:B400"/>
    <mergeCell ref="B401:B404"/>
    <mergeCell ref="C401:C404"/>
    <mergeCell ref="B343:B346"/>
    <mergeCell ref="C343:C346"/>
    <mergeCell ref="C349:C351"/>
    <mergeCell ref="B349:B351"/>
    <mergeCell ref="B352:B355"/>
    <mergeCell ref="C352:C355"/>
    <mergeCell ref="B358:B360"/>
    <mergeCell ref="C358:C360"/>
    <mergeCell ref="B361:B364"/>
    <mergeCell ref="C361:C364"/>
    <mergeCell ref="B322:B324"/>
    <mergeCell ref="C322:C324"/>
    <mergeCell ref="B325:B328"/>
    <mergeCell ref="C325:C328"/>
    <mergeCell ref="C331:C333"/>
    <mergeCell ref="C334:C337"/>
    <mergeCell ref="B331:B333"/>
    <mergeCell ref="B334:B337"/>
    <mergeCell ref="B340:B342"/>
    <mergeCell ref="C340:C342"/>
    <mergeCell ref="A331:A339"/>
    <mergeCell ref="A340:A348"/>
    <mergeCell ref="A349:A357"/>
    <mergeCell ref="A358:A366"/>
    <mergeCell ref="A367:A375"/>
    <mergeCell ref="A380:A388"/>
    <mergeCell ref="A389:A397"/>
    <mergeCell ref="A398:A406"/>
    <mergeCell ref="A322:A330"/>
    <mergeCell ref="B289:B292"/>
    <mergeCell ref="C289:C292"/>
    <mergeCell ref="B307:B310"/>
    <mergeCell ref="C307:C310"/>
    <mergeCell ref="A313:A321"/>
    <mergeCell ref="B313:B315"/>
    <mergeCell ref="C313:C315"/>
    <mergeCell ref="B316:B319"/>
    <mergeCell ref="C316:C319"/>
    <mergeCell ref="A286:A294"/>
    <mergeCell ref="C295:C297"/>
    <mergeCell ref="A295:A303"/>
    <mergeCell ref="B295:B297"/>
    <mergeCell ref="B298:B301"/>
    <mergeCell ref="C298:C301"/>
    <mergeCell ref="A304:A312"/>
    <mergeCell ref="B304:B306"/>
    <mergeCell ref="C304:C306"/>
    <mergeCell ref="B286:B288"/>
    <mergeCell ref="C286:C288"/>
    <mergeCell ref="A277:A285"/>
    <mergeCell ref="B277:B279"/>
    <mergeCell ref="C277:C279"/>
    <mergeCell ref="B280:B283"/>
    <mergeCell ref="C280:C283"/>
    <mergeCell ref="B262:B264"/>
    <mergeCell ref="B265:B268"/>
    <mergeCell ref="C265:C268"/>
    <mergeCell ref="B270:B271"/>
    <mergeCell ref="C270:C271"/>
    <mergeCell ref="A275:G275"/>
    <mergeCell ref="A236:A239"/>
    <mergeCell ref="A244:N244"/>
    <mergeCell ref="A260:G260"/>
    <mergeCell ref="C262:C264"/>
    <mergeCell ref="A240:A243"/>
    <mergeCell ref="A177:A180"/>
    <mergeCell ref="A181:A184"/>
    <mergeCell ref="A185:A188"/>
    <mergeCell ref="A189:A192"/>
    <mergeCell ref="A194:N194"/>
    <mergeCell ref="A196:A199"/>
    <mergeCell ref="A200:A203"/>
    <mergeCell ref="A204:A207"/>
    <mergeCell ref="A208:A211"/>
    <mergeCell ref="A212:A215"/>
    <mergeCell ref="A216:A219"/>
    <mergeCell ref="A220:A223"/>
    <mergeCell ref="A224:A227"/>
    <mergeCell ref="A228:A231"/>
    <mergeCell ref="A232:A235"/>
    <mergeCell ref="A262:A271"/>
    <mergeCell ref="A149:A152"/>
    <mergeCell ref="A153:A156"/>
    <mergeCell ref="A157:A160"/>
    <mergeCell ref="A161:A164"/>
    <mergeCell ref="A165:A168"/>
    <mergeCell ref="A169:A172"/>
    <mergeCell ref="A173:A176"/>
    <mergeCell ref="A96:N96"/>
    <mergeCell ref="A98:A101"/>
    <mergeCell ref="A102:A105"/>
    <mergeCell ref="A134:A137"/>
    <mergeCell ref="A138:A141"/>
    <mergeCell ref="A142:A145"/>
    <mergeCell ref="A147:N147"/>
    <mergeCell ref="A106:A109"/>
    <mergeCell ref="A110:A113"/>
    <mergeCell ref="A114:A117"/>
    <mergeCell ref="A118:A121"/>
    <mergeCell ref="A122:A125"/>
    <mergeCell ref="A126:A129"/>
    <mergeCell ref="A130:A133"/>
    <mergeCell ref="A7:H7"/>
    <mergeCell ref="A16:H16"/>
    <mergeCell ref="A31:H31"/>
    <mergeCell ref="A46:H46"/>
    <mergeCell ref="A61:H61"/>
    <mergeCell ref="A76:N76"/>
    <mergeCell ref="A81:A84"/>
    <mergeCell ref="A85:A88"/>
    <mergeCell ref="A89:A92"/>
    <mergeCell ref="A1:B3"/>
    <mergeCell ref="C1:N1"/>
    <mergeCell ref="C2:N2"/>
    <mergeCell ref="C3:G3"/>
    <mergeCell ref="H3:N3"/>
    <mergeCell ref="A4:B4"/>
    <mergeCell ref="C4:AH4"/>
    <mergeCell ref="A5:B5"/>
    <mergeCell ref="C5:AH5"/>
  </mergeCells>
  <pageMargins left="0.7" right="0.7" top="0.75" bottom="0.75" header="0" footer="0"/>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GESTIÓN</vt:lpstr>
      <vt:lpstr>INVERSIÓN</vt:lpstr>
      <vt:lpstr>ACTIVIDADES</vt:lpstr>
      <vt:lpstr>TERRITORIALIZACIÓN</vt:lpstr>
      <vt:lpstr>SPI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dcterms:created xsi:type="dcterms:W3CDTF">2010-03-25T16:40:43Z</dcterms:created>
  <dcterms:modified xsi:type="dcterms:W3CDTF">2024-01-30T19:28:42Z</dcterms:modified>
</cp:coreProperties>
</file>